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D:\Report Making Cases\Konkan Kaju Pvt. Ltd. - Bhogalwadi, Kundal\"/>
    </mc:Choice>
  </mc:AlternateContent>
  <xr:revisionPtr revIDLastSave="0" documentId="13_ncr:1_{82DA6E32-8680-4AFF-B2A6-B085A5D25D7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Valuation" sheetId="2" r:id="rId1"/>
    <sheet name="Sheet1" sheetId="3" r:id="rId2"/>
    <sheet name="Sheet2" sheetId="4" r:id="rId3"/>
    <sheet name="Final" sheetId="5" r:id="rId4"/>
  </sheets>
  <calcPr calcId="191029"/>
</workbook>
</file>

<file path=xl/calcChain.xml><?xml version="1.0" encoding="utf-8"?>
<calcChain xmlns="http://schemas.openxmlformats.org/spreadsheetml/2006/main">
  <c r="H109" i="2" l="1"/>
  <c r="H107" i="2"/>
  <c r="T20" i="3"/>
  <c r="U35" i="3"/>
  <c r="S35" i="3"/>
  <c r="X33" i="3"/>
  <c r="V33" i="3"/>
  <c r="W27" i="3"/>
  <c r="V27" i="3"/>
  <c r="V23" i="3"/>
  <c r="T23" i="3"/>
  <c r="D59" i="2"/>
  <c r="E59" i="2"/>
  <c r="C59" i="2"/>
  <c r="K16" i="5"/>
  <c r="K15" i="5"/>
  <c r="K14" i="5"/>
  <c r="K16" i="4"/>
  <c r="K15" i="4"/>
  <c r="K14" i="4"/>
  <c r="M31" i="3" l="1"/>
  <c r="M32" i="3" s="1"/>
  <c r="M27" i="3"/>
  <c r="N84" i="2"/>
  <c r="S27" i="3" l="1"/>
  <c r="F24" i="3"/>
  <c r="N23" i="3"/>
  <c r="O23" i="3" s="1"/>
  <c r="Q23" i="3" s="1"/>
  <c r="N22" i="3"/>
  <c r="O22" i="3" s="1"/>
  <c r="Q22" i="3" s="1"/>
  <c r="W18" i="3"/>
  <c r="X18" i="3" s="1"/>
  <c r="N18" i="3"/>
  <c r="O18" i="3" s="1"/>
  <c r="P18" i="3" s="1"/>
  <c r="Q18" i="3" s="1"/>
  <c r="R18" i="3" s="1"/>
  <c r="K18" i="3"/>
  <c r="J18" i="3"/>
  <c r="F18" i="3"/>
  <c r="E18" i="3"/>
  <c r="B18" i="3"/>
  <c r="W17" i="3"/>
  <c r="X17" i="3" s="1"/>
  <c r="N17" i="3"/>
  <c r="P17" i="3" s="1"/>
  <c r="Q17" i="3" s="1"/>
  <c r="R17" i="3" s="1"/>
  <c r="K17" i="3"/>
  <c r="J17" i="3"/>
  <c r="F17" i="3"/>
  <c r="E17" i="3"/>
  <c r="B17" i="3"/>
  <c r="W16" i="3"/>
  <c r="X16" i="3" s="1"/>
  <c r="N16" i="3"/>
  <c r="P16" i="3" s="1"/>
  <c r="Q16" i="3" s="1"/>
  <c r="R16" i="3" s="1"/>
  <c r="K16" i="3"/>
  <c r="J16" i="3"/>
  <c r="F16" i="3"/>
  <c r="E16" i="3"/>
  <c r="B16" i="3"/>
  <c r="W15" i="3"/>
  <c r="X15" i="3" s="1"/>
  <c r="N15" i="3"/>
  <c r="P15" i="3" s="1"/>
  <c r="Q15" i="3" s="1"/>
  <c r="R15" i="3" s="1"/>
  <c r="K15" i="3"/>
  <c r="J15" i="3"/>
  <c r="F15" i="3"/>
  <c r="E15" i="3"/>
  <c r="B15" i="3"/>
  <c r="W14" i="3"/>
  <c r="X14" i="3" s="1"/>
  <c r="N14" i="3"/>
  <c r="O14" i="3" s="1"/>
  <c r="P14" i="3" s="1"/>
  <c r="Q14" i="3" s="1"/>
  <c r="R14" i="3" s="1"/>
  <c r="K14" i="3"/>
  <c r="J14" i="3"/>
  <c r="F14" i="3"/>
  <c r="E14" i="3"/>
  <c r="B14" i="3"/>
  <c r="W13" i="3"/>
  <c r="X13" i="3" s="1"/>
  <c r="O13" i="3"/>
  <c r="P13" i="3" s="1"/>
  <c r="Q13" i="3" s="1"/>
  <c r="R13" i="3" s="1"/>
  <c r="N13" i="3"/>
  <c r="K13" i="3"/>
  <c r="J13" i="3"/>
  <c r="F13" i="3"/>
  <c r="E13" i="3"/>
  <c r="B13" i="3"/>
  <c r="W12" i="3"/>
  <c r="X12" i="3" s="1"/>
  <c r="O12" i="3"/>
  <c r="P12" i="3" s="1"/>
  <c r="Q12" i="3" s="1"/>
  <c r="R12" i="3" s="1"/>
  <c r="N12" i="3"/>
  <c r="K12" i="3"/>
  <c r="J12" i="3"/>
  <c r="F12" i="3"/>
  <c r="E12" i="3"/>
  <c r="B12" i="3"/>
  <c r="W11" i="3"/>
  <c r="X11" i="3" s="1"/>
  <c r="O11" i="3"/>
  <c r="P11" i="3" s="1"/>
  <c r="Q11" i="3" s="1"/>
  <c r="R11" i="3" s="1"/>
  <c r="N11" i="3"/>
  <c r="K11" i="3"/>
  <c r="J11" i="3"/>
  <c r="F11" i="3"/>
  <c r="E11" i="3"/>
  <c r="B11" i="3"/>
  <c r="W10" i="3"/>
  <c r="X10" i="3" s="1"/>
  <c r="O10" i="3"/>
  <c r="P10" i="3" s="1"/>
  <c r="Q10" i="3" s="1"/>
  <c r="R10" i="3" s="1"/>
  <c r="N10" i="3"/>
  <c r="K10" i="3"/>
  <c r="J10" i="3"/>
  <c r="F10" i="3"/>
  <c r="E10" i="3"/>
  <c r="B10" i="3"/>
  <c r="W9" i="3"/>
  <c r="X9" i="3" s="1"/>
  <c r="O9" i="3"/>
  <c r="P9" i="3" s="1"/>
  <c r="Q9" i="3" s="1"/>
  <c r="R9" i="3" s="1"/>
  <c r="N9" i="3"/>
  <c r="K9" i="3"/>
  <c r="J9" i="3"/>
  <c r="F9" i="3"/>
  <c r="E9" i="3"/>
  <c r="B9" i="3"/>
  <c r="W8" i="3"/>
  <c r="X8" i="3" s="1"/>
  <c r="O8" i="3"/>
  <c r="P8" i="3" s="1"/>
  <c r="Q8" i="3" s="1"/>
  <c r="R8" i="3" s="1"/>
  <c r="N8" i="3"/>
  <c r="K8" i="3"/>
  <c r="J8" i="3"/>
  <c r="F8" i="3"/>
  <c r="E8" i="3"/>
  <c r="B8" i="3"/>
  <c r="W7" i="3"/>
  <c r="X7" i="3" s="1"/>
  <c r="O7" i="3"/>
  <c r="P7" i="3" s="1"/>
  <c r="Q7" i="3" s="1"/>
  <c r="R7" i="3" s="1"/>
  <c r="N7" i="3"/>
  <c r="K7" i="3"/>
  <c r="J7" i="3"/>
  <c r="F7" i="3"/>
  <c r="E7" i="3"/>
  <c r="B7" i="3"/>
  <c r="W6" i="3"/>
  <c r="X6" i="3" s="1"/>
  <c r="O6" i="3"/>
  <c r="P6" i="3" s="1"/>
  <c r="Q6" i="3" s="1"/>
  <c r="R6" i="3" s="1"/>
  <c r="N6" i="3"/>
  <c r="K6" i="3"/>
  <c r="J6" i="3"/>
  <c r="F6" i="3"/>
  <c r="E6" i="3"/>
  <c r="B6" i="3"/>
  <c r="W5" i="3"/>
  <c r="X5" i="3" s="1"/>
  <c r="O5" i="3"/>
  <c r="P5" i="3" s="1"/>
  <c r="Q5" i="3" s="1"/>
  <c r="R5" i="3" s="1"/>
  <c r="N5" i="3"/>
  <c r="K5" i="3"/>
  <c r="J5" i="3"/>
  <c r="F5" i="3"/>
  <c r="E5" i="3"/>
  <c r="B5" i="3"/>
  <c r="W4" i="3"/>
  <c r="X4" i="3" s="1"/>
  <c r="O4" i="3"/>
  <c r="P4" i="3" s="1"/>
  <c r="Q4" i="3" s="1"/>
  <c r="R4" i="3" s="1"/>
  <c r="N4" i="3"/>
  <c r="K4" i="3"/>
  <c r="J4" i="3"/>
  <c r="F4" i="3"/>
  <c r="E4" i="3"/>
  <c r="B4" i="3"/>
  <c r="W3" i="3"/>
  <c r="X3" i="3" s="1"/>
  <c r="O3" i="3"/>
  <c r="P3" i="3" s="1"/>
  <c r="Q3" i="3" s="1"/>
  <c r="R3" i="3" s="1"/>
  <c r="N3" i="3"/>
  <c r="K3" i="3"/>
  <c r="J3" i="3"/>
  <c r="F3" i="3"/>
  <c r="E3" i="3"/>
  <c r="B3" i="3"/>
  <c r="W2" i="3"/>
  <c r="X2" i="3" s="1"/>
  <c r="O2" i="3"/>
  <c r="P2" i="3" s="1"/>
  <c r="Q2" i="3" s="1"/>
  <c r="R2" i="3" s="1"/>
  <c r="N2" i="3"/>
  <c r="K2" i="3"/>
  <c r="J2" i="3"/>
  <c r="F2" i="3"/>
  <c r="E2" i="3"/>
  <c r="B2" i="3"/>
  <c r="K1" i="3"/>
  <c r="J1" i="3"/>
  <c r="I1" i="3"/>
  <c r="H1" i="3"/>
  <c r="G1" i="3"/>
  <c r="F1" i="3"/>
  <c r="E1" i="3"/>
  <c r="T6" i="3" l="1"/>
  <c r="C6" i="3" s="1"/>
  <c r="D6" i="3" s="1"/>
  <c r="A6" i="3"/>
  <c r="T8" i="3"/>
  <c r="C8" i="3" s="1"/>
  <c r="D8" i="3" s="1"/>
  <c r="A8" i="3"/>
  <c r="T11" i="3"/>
  <c r="C11" i="3" s="1"/>
  <c r="D11" i="3" s="1"/>
  <c r="A11" i="3"/>
  <c r="T13" i="3"/>
  <c r="C13" i="3" s="1"/>
  <c r="D13" i="3" s="1"/>
  <c r="A13" i="3"/>
  <c r="T15" i="3"/>
  <c r="C15" i="3" s="1"/>
  <c r="D15" i="3" s="1"/>
  <c r="A15" i="3"/>
  <c r="T18" i="3"/>
  <c r="C18" i="3" s="1"/>
  <c r="D18" i="3" s="1"/>
  <c r="A18" i="3"/>
  <c r="Y2" i="3"/>
  <c r="I2" i="3" s="1"/>
  <c r="H2" i="3"/>
  <c r="Y4" i="3"/>
  <c r="I4" i="3" s="1"/>
  <c r="H4" i="3"/>
  <c r="Y5" i="3"/>
  <c r="I5" i="3" s="1"/>
  <c r="H5" i="3"/>
  <c r="Y6" i="3"/>
  <c r="I6" i="3" s="1"/>
  <c r="H6" i="3"/>
  <c r="Y7" i="3"/>
  <c r="I7" i="3" s="1"/>
  <c r="H7" i="3"/>
  <c r="Y8" i="3"/>
  <c r="I8" i="3" s="1"/>
  <c r="H8" i="3"/>
  <c r="Y9" i="3"/>
  <c r="I9" i="3" s="1"/>
  <c r="H9" i="3"/>
  <c r="Y10" i="3"/>
  <c r="I10" i="3" s="1"/>
  <c r="H10" i="3"/>
  <c r="Y11" i="3"/>
  <c r="I11" i="3" s="1"/>
  <c r="H11" i="3"/>
  <c r="Y12" i="3"/>
  <c r="I12" i="3" s="1"/>
  <c r="H12" i="3"/>
  <c r="Y13" i="3"/>
  <c r="I13" i="3" s="1"/>
  <c r="H13" i="3"/>
  <c r="Y14" i="3"/>
  <c r="I14" i="3" s="1"/>
  <c r="H14" i="3"/>
  <c r="Y15" i="3"/>
  <c r="I15" i="3" s="1"/>
  <c r="H15" i="3"/>
  <c r="Y16" i="3"/>
  <c r="I16" i="3" s="1"/>
  <c r="H16" i="3"/>
  <c r="Y17" i="3"/>
  <c r="I17" i="3" s="1"/>
  <c r="H17" i="3"/>
  <c r="Y18" i="3"/>
  <c r="I18" i="3" s="1"/>
  <c r="H18" i="3"/>
  <c r="T2" i="3"/>
  <c r="C2" i="3" s="1"/>
  <c r="D2" i="3" s="1"/>
  <c r="A2" i="3"/>
  <c r="T3" i="3"/>
  <c r="C3" i="3" s="1"/>
  <c r="D3" i="3" s="1"/>
  <c r="A3" i="3"/>
  <c r="T4" i="3"/>
  <c r="C4" i="3" s="1"/>
  <c r="D4" i="3" s="1"/>
  <c r="A4" i="3"/>
  <c r="T5" i="3"/>
  <c r="C5" i="3" s="1"/>
  <c r="D5" i="3" s="1"/>
  <c r="A5" i="3"/>
  <c r="T7" i="3"/>
  <c r="C7" i="3" s="1"/>
  <c r="D7" i="3" s="1"/>
  <c r="A7" i="3"/>
  <c r="T9" i="3"/>
  <c r="C9" i="3" s="1"/>
  <c r="D9" i="3" s="1"/>
  <c r="A9" i="3"/>
  <c r="T10" i="3"/>
  <c r="C10" i="3" s="1"/>
  <c r="D10" i="3" s="1"/>
  <c r="A10" i="3"/>
  <c r="T12" i="3"/>
  <c r="C12" i="3" s="1"/>
  <c r="D12" i="3" s="1"/>
  <c r="A12" i="3"/>
  <c r="T14" i="3"/>
  <c r="C14" i="3" s="1"/>
  <c r="D14" i="3" s="1"/>
  <c r="A14" i="3"/>
  <c r="T16" i="3"/>
  <c r="C16" i="3" s="1"/>
  <c r="D16" i="3" s="1"/>
  <c r="A16" i="3"/>
  <c r="T17" i="3"/>
  <c r="C17" i="3" s="1"/>
  <c r="D17" i="3" s="1"/>
  <c r="A17" i="3"/>
  <c r="Y3" i="3"/>
  <c r="I3" i="3" s="1"/>
  <c r="H3" i="3"/>
  <c r="G2" i="3"/>
  <c r="G3" i="3"/>
  <c r="G4" i="3"/>
  <c r="G5" i="3"/>
  <c r="G6" i="3"/>
  <c r="G7" i="3"/>
  <c r="G8" i="3"/>
  <c r="G9" i="3"/>
  <c r="G10" i="3"/>
  <c r="G11" i="3"/>
  <c r="G12" i="3"/>
  <c r="G13" i="3"/>
  <c r="G14" i="3"/>
  <c r="G15" i="3"/>
  <c r="G16" i="3"/>
  <c r="G17" i="3"/>
  <c r="G18" i="3"/>
  <c r="P80" i="2" l="1"/>
  <c r="P78" i="2"/>
  <c r="P76" i="2"/>
  <c r="P74" i="2"/>
  <c r="P72" i="2"/>
  <c r="P70" i="2"/>
  <c r="P81" i="2" s="1"/>
  <c r="O81" i="2"/>
  <c r="L80" i="2"/>
  <c r="L79" i="2"/>
  <c r="L78" i="2"/>
  <c r="L77" i="2"/>
  <c r="L76" i="2"/>
  <c r="L75" i="2"/>
  <c r="L74" i="2"/>
  <c r="L73" i="2"/>
  <c r="L72" i="2"/>
  <c r="L71" i="2"/>
  <c r="L70" i="2"/>
  <c r="L69" i="2" l="1"/>
  <c r="L81" i="2" s="1"/>
  <c r="C16" i="2"/>
  <c r="H15" i="2"/>
  <c r="I15" i="2" s="1"/>
  <c r="O15" i="2"/>
  <c r="O14" i="2"/>
  <c r="J15" i="2" l="1"/>
  <c r="K15" i="2" s="1"/>
  <c r="L15" i="2" s="1"/>
  <c r="N15" i="2" s="1"/>
  <c r="M15" i="2" s="1"/>
  <c r="K52" i="2" l="1"/>
  <c r="K40" i="2"/>
  <c r="K54" i="2" s="1"/>
  <c r="F2" i="2" l="1"/>
  <c r="I3" i="2"/>
  <c r="O8" i="2"/>
  <c r="H8" i="2"/>
  <c r="J8" i="2" s="1"/>
  <c r="K8" i="2" s="1"/>
  <c r="L8" i="2" s="1"/>
  <c r="N8" i="2" s="1"/>
  <c r="O11" i="2"/>
  <c r="H11" i="2"/>
  <c r="J11" i="2" s="1"/>
  <c r="K11" i="2" s="1"/>
  <c r="L11" i="2" s="1"/>
  <c r="N11" i="2" s="1"/>
  <c r="O10" i="2"/>
  <c r="H10" i="2"/>
  <c r="J10" i="2" s="1"/>
  <c r="K10" i="2" s="1"/>
  <c r="L10" i="2" s="1"/>
  <c r="N10" i="2" s="1"/>
  <c r="O9" i="2"/>
  <c r="H9" i="2"/>
  <c r="J9" i="2" s="1"/>
  <c r="K9" i="2" s="1"/>
  <c r="L9" i="2" s="1"/>
  <c r="N9" i="2" s="1"/>
  <c r="I9" i="2" l="1"/>
  <c r="M8" i="2"/>
  <c r="I10" i="2"/>
  <c r="I11" i="2"/>
  <c r="I8" i="2"/>
  <c r="M9" i="2"/>
  <c r="M10" i="2"/>
  <c r="M11" i="2"/>
  <c r="C26" i="2" l="1"/>
  <c r="C32" i="2" s="1"/>
  <c r="C21" i="2"/>
  <c r="C31" i="2" s="1"/>
  <c r="H14" i="2"/>
  <c r="O13" i="2"/>
  <c r="H13" i="2"/>
  <c r="I13" i="2" s="1"/>
  <c r="O12" i="2"/>
  <c r="H12" i="2"/>
  <c r="C4" i="2"/>
  <c r="C29" i="2" s="1"/>
  <c r="L2" i="2"/>
  <c r="O16" i="2" l="1"/>
  <c r="J13" i="2"/>
  <c r="K13" i="2" s="1"/>
  <c r="L13" i="2" s="1"/>
  <c r="N13" i="2" s="1"/>
  <c r="M13" i="2" s="1"/>
  <c r="J12" i="2"/>
  <c r="K12" i="2" s="1"/>
  <c r="L12" i="2" s="1"/>
  <c r="N12" i="2" s="1"/>
  <c r="I12" i="2"/>
  <c r="J14" i="2"/>
  <c r="K14" i="2" s="1"/>
  <c r="L14" i="2" s="1"/>
  <c r="N14" i="2" s="1"/>
  <c r="M14" i="2" s="1"/>
  <c r="I14" i="2"/>
  <c r="N16" i="2" l="1"/>
  <c r="C30" i="2" s="1"/>
  <c r="C36" i="2" s="1"/>
  <c r="M12" i="2"/>
  <c r="M16" i="2" s="1"/>
  <c r="L3" i="2" l="1"/>
  <c r="L4" i="2" s="1"/>
  <c r="C33" i="2"/>
  <c r="F33" i="2" l="1"/>
  <c r="E33" i="2"/>
  <c r="C34" i="2"/>
  <c r="C35" i="2"/>
  <c r="P2" i="2"/>
  <c r="R2" i="2" s="1"/>
  <c r="P3" i="2"/>
  <c r="R3" i="2" s="1"/>
  <c r="P4" i="2"/>
  <c r="R4" i="2" s="1"/>
</calcChain>
</file>

<file path=xl/sharedStrings.xml><?xml version="1.0" encoding="utf-8"?>
<sst xmlns="http://schemas.openxmlformats.org/spreadsheetml/2006/main" count="232" uniqueCount="145">
  <si>
    <t>Year Of Const.</t>
  </si>
  <si>
    <t>Valuation Year</t>
  </si>
  <si>
    <t>Total Life of Structure</t>
  </si>
  <si>
    <t>% of the depreciation rate to be deducted</t>
  </si>
  <si>
    <t>% Value</t>
  </si>
  <si>
    <t>Rate</t>
  </si>
  <si>
    <t>Value</t>
  </si>
  <si>
    <t>Total Value</t>
  </si>
  <si>
    <t>Realisable Value</t>
  </si>
  <si>
    <t>Distress Value</t>
  </si>
  <si>
    <t>land area</t>
  </si>
  <si>
    <t>Land Development</t>
  </si>
  <si>
    <t>Land Value</t>
  </si>
  <si>
    <t>Structure Value</t>
  </si>
  <si>
    <t>Land Development Value</t>
  </si>
  <si>
    <t xml:space="preserve"> Value</t>
  </si>
  <si>
    <t>Built up area</t>
  </si>
  <si>
    <t>Interior and other Development</t>
  </si>
  <si>
    <t>Interior and Other Development</t>
  </si>
  <si>
    <t xml:space="preserve">Sr. No. </t>
  </si>
  <si>
    <t>Government value</t>
  </si>
  <si>
    <t>Depreciation</t>
  </si>
  <si>
    <t>Particulars</t>
  </si>
  <si>
    <t>Balance Life of Structures in Years</t>
  </si>
  <si>
    <t>Age Of Build. In Years</t>
  </si>
  <si>
    <t xml:space="preserve">Built Up Area </t>
  </si>
  <si>
    <r>
      <t>(</t>
    </r>
    <r>
      <rPr>
        <b/>
        <sz val="11"/>
        <rFont val="Rupee Foradian"/>
        <family val="2"/>
      </rPr>
      <t>`</t>
    </r>
    <r>
      <rPr>
        <b/>
        <sz val="11"/>
        <rFont val="Calibri"/>
        <family val="2"/>
      </rPr>
      <t>)</t>
    </r>
  </si>
  <si>
    <r>
      <t>(</t>
    </r>
    <r>
      <rPr>
        <b/>
        <sz val="11"/>
        <color rgb="FFFF0000"/>
        <rFont val="Rupee Foradian"/>
        <family val="2"/>
      </rPr>
      <t>`</t>
    </r>
    <r>
      <rPr>
        <b/>
        <sz val="11"/>
        <color rgb="FFFF0000"/>
        <rFont val="Calibri"/>
        <family val="2"/>
      </rPr>
      <t>)</t>
    </r>
  </si>
  <si>
    <t>Rent</t>
  </si>
  <si>
    <t>Residential</t>
  </si>
  <si>
    <t>Property Value</t>
  </si>
  <si>
    <t>Commercial</t>
  </si>
  <si>
    <t>Industrial</t>
  </si>
  <si>
    <t>Government rate</t>
  </si>
  <si>
    <t xml:space="preserve">Sq. M. </t>
  </si>
  <si>
    <t>Sq. Ft.</t>
  </si>
  <si>
    <t>(Sq. M. / Sq. Ft.)</t>
  </si>
  <si>
    <t>Estimated Replacement Cost</t>
  </si>
  <si>
    <t xml:space="preserve">Depreciated Replacement Cost </t>
  </si>
  <si>
    <t xml:space="preserve">Depreciated Replacement Value </t>
  </si>
  <si>
    <t>Replacement Value</t>
  </si>
  <si>
    <r>
      <t>Insurable value (Depreciated Replacement Value (</t>
    </r>
    <r>
      <rPr>
        <b/>
        <sz val="11"/>
        <color theme="1"/>
        <rFont val="Rupee Foradian"/>
        <family val="2"/>
      </rPr>
      <t xml:space="preserve">` </t>
    </r>
    <r>
      <rPr>
        <b/>
        <sz val="11"/>
        <color theme="1"/>
        <rFont val="Arial Narrow"/>
        <family val="2"/>
      </rPr>
      <t>3,34,62,049.00) - Subsoil Structure Cost (15%)</t>
    </r>
  </si>
  <si>
    <t>Main Shed</t>
  </si>
  <si>
    <t>Area in Sq. Ft.</t>
  </si>
  <si>
    <t>Boiler Shed</t>
  </si>
  <si>
    <t>Toilet Block &amp; Rest Room</t>
  </si>
  <si>
    <t>Tin Shed</t>
  </si>
  <si>
    <t>Office Building</t>
  </si>
  <si>
    <t>Sizing Machine Shed</t>
  </si>
  <si>
    <t>As per Previous Valuation Report</t>
  </si>
  <si>
    <t>As per site inspection</t>
  </si>
  <si>
    <t>Cabin</t>
  </si>
  <si>
    <t>Total</t>
  </si>
  <si>
    <t>Office 1</t>
  </si>
  <si>
    <t>Office 2</t>
  </si>
  <si>
    <t xml:space="preserve">Boiler Shed </t>
  </si>
  <si>
    <t>Tin Shed beside Boiler Shed</t>
  </si>
  <si>
    <t>Difference</t>
  </si>
  <si>
    <t>Owner Name</t>
  </si>
  <si>
    <t>Survey No.</t>
  </si>
  <si>
    <t>Hissa No.</t>
  </si>
  <si>
    <t xml:space="preserve">Area in </t>
  </si>
  <si>
    <t>H. R.</t>
  </si>
  <si>
    <t>Area in</t>
  </si>
  <si>
    <t>Sq. M.</t>
  </si>
  <si>
    <t>Area in Acres</t>
  </si>
  <si>
    <t xml:space="preserve">Mrs. Vidya Suresh Parab, </t>
  </si>
  <si>
    <t>1.15.00</t>
  </si>
  <si>
    <t>2B</t>
  </si>
  <si>
    <t>0.33.30</t>
  </si>
  <si>
    <t xml:space="preserve">Mr. Suresh Govind Parab </t>
  </si>
  <si>
    <t>Mr. Swapnil Suresh Parab</t>
  </si>
  <si>
    <t>0.33.40</t>
  </si>
  <si>
    <t>1.30.00</t>
  </si>
  <si>
    <t>0.33.70</t>
  </si>
  <si>
    <t>1.20.00</t>
  </si>
  <si>
    <t>0.33.27</t>
  </si>
  <si>
    <t>Land area in Sq. M.</t>
  </si>
  <si>
    <t>Rate on Sq. M.</t>
  </si>
  <si>
    <t>Rate on Sq. Ft.</t>
  </si>
  <si>
    <t>Land in Hector</t>
  </si>
  <si>
    <t>Land in Acre</t>
  </si>
  <si>
    <t>Land in Guntha</t>
  </si>
  <si>
    <t>Land in Sq. Yard</t>
  </si>
  <si>
    <t>Land in Sq. Ft.</t>
  </si>
  <si>
    <t>Land in Sq. M.</t>
  </si>
  <si>
    <t>Construction Area</t>
  </si>
  <si>
    <t>Cost of Construction</t>
  </si>
  <si>
    <t>Construction value</t>
  </si>
  <si>
    <t>Land Value (Including Land development)</t>
  </si>
  <si>
    <t>Land Rate (Including Development) per Sq. M.</t>
  </si>
  <si>
    <t>Location</t>
  </si>
  <si>
    <t>Distance</t>
  </si>
  <si>
    <t>Acre</t>
  </si>
  <si>
    <t>Hectare</t>
  </si>
  <si>
    <t>S. No.</t>
  </si>
  <si>
    <t>Asset Description</t>
  </si>
  <si>
    <t>Year of Purchase</t>
  </si>
  <si>
    <t>Qty</t>
  </si>
  <si>
    <t>Lot</t>
  </si>
  <si>
    <t>-</t>
  </si>
  <si>
    <t>FMV</t>
  </si>
  <si>
    <t>RSV</t>
  </si>
  <si>
    <t>DSV</t>
  </si>
  <si>
    <t xml:space="preserve">Raw Cashew Nut Sizing Machine with 2 HP Motor Gear Box &amp; Feeding Hopper, Locally Fabricated  </t>
  </si>
  <si>
    <t xml:space="preserve">Hand &amp; Leg Operator Cutting Machine with accessories, Locally Fabricated tailored  made </t>
  </si>
  <si>
    <t xml:space="preserve">Boler A. 300 kg/hr Capacity Boiler with 2 HP Feed Water Pump B. C - 320 kg  Capacity Cashew Cooking Vessel (2Nos. ) from ESJI Trading Co.  Locally Fabricated, Totally Damaged </t>
  </si>
  <si>
    <t>Cashew Piece Separator, Locally Fabricated</t>
  </si>
  <si>
    <t xml:space="preserve">Tin Filling Machine, Locally Fabricated </t>
  </si>
  <si>
    <t xml:space="preserve">Husk Winnowing Machine with 2 HP Motor, Locally Fabricated </t>
  </si>
  <si>
    <t xml:space="preserve">Nano Pix ISS Cashew Grading Machine, Model - Hamsa,Locally Fabricated  </t>
  </si>
  <si>
    <t xml:space="preserve">Weight Machine, Locally Fabricated </t>
  </si>
  <si>
    <t xml:space="preserve">Trolley, Locally Fabricated </t>
  </si>
  <si>
    <t xml:space="preserve">Kaju Shifting Tray, Locally Fabricated </t>
  </si>
  <si>
    <t xml:space="preserve">Electric Installation Consisting of Cable, Lighting Control Panel for connected Load of 110 KVA </t>
  </si>
  <si>
    <t>Misc. Items Office Chairs, Godrej Locker, Ceiling Fan, Wooden Table, Air Conditioner, Plastic Carets</t>
  </si>
  <si>
    <t>Economic Useful Life of the machinery (Yrs)</t>
  </si>
  <si>
    <t>Age of the Machinery (Yrs.)</t>
  </si>
  <si>
    <t>Future Economic Useful Life of the machinery (Yrs)</t>
  </si>
  <si>
    <r>
      <t>Replacement Cost for New Machinery (</t>
    </r>
    <r>
      <rPr>
        <b/>
        <sz val="10"/>
        <color rgb="FF000000"/>
        <rFont val="Rupee"/>
      </rPr>
      <t>`</t>
    </r>
    <r>
      <rPr>
        <b/>
        <sz val="10"/>
        <color rgb="FF000000"/>
        <rFont val="Arial Narrow"/>
        <family val="2"/>
      </rPr>
      <t>)</t>
    </r>
  </si>
  <si>
    <r>
      <t>Accumulate Depreciation (</t>
    </r>
    <r>
      <rPr>
        <b/>
        <sz val="10"/>
        <color rgb="FF000000"/>
        <rFont val="Rupee"/>
      </rPr>
      <t>`</t>
    </r>
    <r>
      <rPr>
        <b/>
        <sz val="10"/>
        <color rgb="FF000000"/>
        <rFont val="Arial Narrow"/>
        <family val="2"/>
      </rPr>
      <t>)</t>
    </r>
  </si>
  <si>
    <t>Lumpsum</t>
  </si>
  <si>
    <r>
      <t>Additional Depreciation for wear and tear  / Economical Obsolesce (</t>
    </r>
    <r>
      <rPr>
        <b/>
        <sz val="10"/>
        <color rgb="FF000000"/>
        <rFont val="Rupee"/>
      </rPr>
      <t>`</t>
    </r>
    <r>
      <rPr>
        <b/>
        <sz val="10"/>
        <color rgb="FF000000"/>
        <rFont val="Arial Narrow"/>
        <family val="2"/>
      </rPr>
      <t>)</t>
    </r>
  </si>
  <si>
    <r>
      <t>Depreciated Value (</t>
    </r>
    <r>
      <rPr>
        <b/>
        <sz val="10"/>
        <color rgb="FF000000"/>
        <rFont val="Rupee"/>
      </rPr>
      <t>`</t>
    </r>
    <r>
      <rPr>
        <b/>
        <sz val="10"/>
        <color rgb="FF000000"/>
        <rFont val="Arial Narrow"/>
        <family val="2"/>
      </rPr>
      <t>)</t>
    </r>
  </si>
  <si>
    <r>
      <t xml:space="preserve">Replacement Cost for New Machinery </t>
    </r>
    <r>
      <rPr>
        <b/>
        <sz val="9"/>
        <color rgb="FF000000"/>
        <rFont val="Rupee Foradian"/>
        <family val="2"/>
      </rPr>
      <t>(`</t>
    </r>
    <r>
      <rPr>
        <b/>
        <sz val="9"/>
        <color rgb="FF000000"/>
        <rFont val="Arial Narrow"/>
        <family val="2"/>
      </rPr>
      <t>)</t>
    </r>
  </si>
  <si>
    <r>
      <t>Accumulate Depreciation (</t>
    </r>
    <r>
      <rPr>
        <b/>
        <sz val="9"/>
        <color rgb="FF000000"/>
        <rFont val="Rupee Foradian"/>
        <family val="2"/>
      </rPr>
      <t>`</t>
    </r>
    <r>
      <rPr>
        <b/>
        <sz val="9"/>
        <color rgb="FF000000"/>
        <rFont val="Arial Narrow"/>
        <family val="2"/>
      </rPr>
      <t>)</t>
    </r>
  </si>
  <si>
    <r>
      <t>Additional Depreciation for wear and tear / Economical Obsolesce (</t>
    </r>
    <r>
      <rPr>
        <b/>
        <sz val="9"/>
        <color rgb="FF000000"/>
        <rFont val="Rupee Foradian"/>
        <family val="2"/>
      </rPr>
      <t>`</t>
    </r>
    <r>
      <rPr>
        <b/>
        <sz val="9"/>
        <color rgb="FF000000"/>
        <rFont val="Arial Narrow"/>
        <family val="2"/>
      </rPr>
      <t>)</t>
    </r>
  </si>
  <si>
    <r>
      <t>Depreciated Value (</t>
    </r>
    <r>
      <rPr>
        <b/>
        <sz val="9"/>
        <color rgb="FF000000"/>
        <rFont val="Rupee Foradian"/>
        <family val="2"/>
      </rPr>
      <t>`</t>
    </r>
    <r>
      <rPr>
        <b/>
        <sz val="9"/>
        <color rgb="FF000000"/>
        <rFont val="Arial Narrow"/>
        <family val="2"/>
      </rPr>
      <t>)</t>
    </r>
  </si>
  <si>
    <t>Raw Cashew Nut Sizing Machine with 2 HP Motor Gear Box &amp; Feeding Hopper, Locally Fabricated</t>
  </si>
  <si>
    <t>Hand &amp; Leg Operator Cutting Machine with accessories, Locally Fabricated tailored made</t>
  </si>
  <si>
    <t>Boler A. 300 kg/hr Capacity Boiler with 2 HP Feed Water Pump B. C - 320 kg Capacity Cashew Cooking Vessel (2Nos.) from ESJI Trading Co.  Locally Fabricated, Totally Damaged</t>
  </si>
  <si>
    <t>Tin Filling Machine, Locally Fabricated</t>
  </si>
  <si>
    <t>Husk Winnowing Machine with 2 HP Motor, Locally Fabricated</t>
  </si>
  <si>
    <t>Nano Pix ISS Cashew Grading Machine, Model - Hamsa,Locally Fabricated</t>
  </si>
  <si>
    <t>Weight Machine, Locally Fabricated</t>
  </si>
  <si>
    <t>Trolley, Locally Fabricated</t>
  </si>
  <si>
    <t>Kaju Shifting Tray, Locally Fabricated</t>
  </si>
  <si>
    <t>Electric Installation Consisting of Cable, Lighting Control Panel for connected Load of 110 KVA</t>
  </si>
  <si>
    <r>
      <t>Fair Market Value In (</t>
    </r>
    <r>
      <rPr>
        <b/>
        <sz val="10"/>
        <color rgb="FFFF0000"/>
        <rFont val="Rupee Foradian"/>
        <family val="2"/>
      </rPr>
      <t>`</t>
    </r>
    <r>
      <rPr>
        <b/>
        <sz val="10"/>
        <color rgb="FFFF0000"/>
        <rFont val="Arial Narrow"/>
        <family val="2"/>
      </rPr>
      <t>)</t>
    </r>
  </si>
  <si>
    <r>
      <t>Realizable Value In (</t>
    </r>
    <r>
      <rPr>
        <b/>
        <sz val="10"/>
        <color rgb="FFFF0000"/>
        <rFont val="Rupee Foradian"/>
        <family val="2"/>
      </rPr>
      <t>`</t>
    </r>
    <r>
      <rPr>
        <b/>
        <sz val="10"/>
        <color rgb="FFFF0000"/>
        <rFont val="Arial Narrow"/>
        <family val="2"/>
      </rPr>
      <t>)</t>
    </r>
  </si>
  <si>
    <r>
      <t>Distress Sale Value In (</t>
    </r>
    <r>
      <rPr>
        <b/>
        <sz val="10"/>
        <color rgb="FFFF0000"/>
        <rFont val="Rupee Foradian"/>
        <family val="2"/>
      </rPr>
      <t>`)</t>
    </r>
  </si>
  <si>
    <t>Land and Building</t>
  </si>
  <si>
    <t>Plant &amp; Machinery</t>
  </si>
  <si>
    <t>Guntha</t>
  </si>
  <si>
    <t>40000+ g.s.t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</si>
</sst>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 * #,##0.00_ ;_ * \-#,##0.00_ ;_ * &quot;-&quot;??_ ;_ @_ "/>
    <numFmt numFmtId="164" formatCode="_ * #,##0_ ;_ * \-#,##0_ ;_ * &quot;-&quot;??_ ;_ @_ "/>
    <numFmt numFmtId="165" formatCode="0.0000"/>
    <numFmt numFmtId="166" formatCode="#,##0.0000"/>
    <numFmt numFmtId="167" formatCode="#,##0.0000000000"/>
  </numFmts>
  <fonts count="28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0"/>
      <color rgb="FFFF0000"/>
      <name val="Arial Narrow"/>
      <family val="2"/>
    </font>
    <font>
      <b/>
      <sz val="11"/>
      <color rgb="FFFF0000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0"/>
      <color theme="1"/>
      <name val="Arial Narrow"/>
      <family val="2"/>
    </font>
    <font>
      <b/>
      <sz val="11"/>
      <name val="Rupee Foradian"/>
      <family val="2"/>
    </font>
    <font>
      <b/>
      <sz val="11"/>
      <color rgb="FFFF0000"/>
      <name val="Rupee Foradian"/>
      <family val="2"/>
    </font>
    <font>
      <sz val="11"/>
      <color theme="1"/>
      <name val="Calibri"/>
      <family val="2"/>
      <scheme val="minor"/>
    </font>
    <font>
      <b/>
      <sz val="11"/>
      <color theme="1"/>
      <name val="Rupee Foradian"/>
      <family val="2"/>
    </font>
    <font>
      <sz val="11"/>
      <color rgb="FFFF0000"/>
      <name val="Calibri"/>
      <family val="2"/>
      <scheme val="minor"/>
    </font>
    <font>
      <b/>
      <sz val="11"/>
      <name val="Arial Narrow"/>
      <family val="2"/>
    </font>
    <font>
      <b/>
      <sz val="10"/>
      <color rgb="FF000000"/>
      <name val="Arial Narrow"/>
      <family val="2"/>
    </font>
    <font>
      <sz val="10"/>
      <color rgb="FF000000"/>
      <name val="Arial Narrow"/>
      <family val="2"/>
    </font>
    <font>
      <b/>
      <sz val="10"/>
      <color rgb="FF000000"/>
      <name val="Rupee"/>
    </font>
    <font>
      <sz val="10"/>
      <color theme="1"/>
      <name val="Times New Roman"/>
      <family val="1"/>
    </font>
    <font>
      <b/>
      <sz val="9"/>
      <color rgb="FF000000"/>
      <name val="Arial Narrow"/>
      <family val="2"/>
    </font>
    <font>
      <b/>
      <sz val="9"/>
      <color rgb="FF000000"/>
      <name val="Rupee Foradian"/>
      <family val="2"/>
    </font>
    <font>
      <sz val="9"/>
      <color rgb="FF000000"/>
      <name val="Arial Narrow"/>
      <family val="2"/>
    </font>
    <font>
      <b/>
      <sz val="10"/>
      <color rgb="FFFF0000"/>
      <name val="Rupee Foradian"/>
      <family val="2"/>
    </font>
    <font>
      <sz val="11"/>
      <color rgb="FF00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ED7D31"/>
        <bgColor indexed="64"/>
      </patternFill>
    </fill>
    <fill>
      <patternFill patternType="solid">
        <fgColor rgb="FFFBE4D5"/>
        <bgColor indexed="64"/>
      </patternFill>
    </fill>
    <fill>
      <patternFill patternType="solid">
        <fgColor rgb="FF009999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rgb="FFB7DEE8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ED7D31"/>
      </left>
      <right/>
      <top style="medium">
        <color rgb="FFED7D31"/>
      </top>
      <bottom style="medium">
        <color rgb="FFED7D31"/>
      </bottom>
      <diagonal/>
    </border>
    <border>
      <left/>
      <right/>
      <top style="medium">
        <color rgb="FFED7D31"/>
      </top>
      <bottom style="medium">
        <color rgb="FFED7D31"/>
      </bottom>
      <diagonal/>
    </border>
    <border>
      <left/>
      <right style="medium">
        <color rgb="FFED7D31"/>
      </right>
      <top style="medium">
        <color rgb="FFED7D31"/>
      </top>
      <bottom style="medium">
        <color rgb="FFED7D31"/>
      </bottom>
      <diagonal/>
    </border>
    <border>
      <left style="medium">
        <color rgb="FFF4B083"/>
      </left>
      <right style="medium">
        <color rgb="FFF4B083"/>
      </right>
      <top/>
      <bottom style="medium">
        <color rgb="FFF4B083"/>
      </bottom>
      <diagonal/>
    </border>
    <border>
      <left/>
      <right style="medium">
        <color rgb="FFF4B083"/>
      </right>
      <top/>
      <bottom style="medium">
        <color rgb="FFF4B083"/>
      </bottom>
      <diagonal/>
    </border>
    <border>
      <left style="medium">
        <color rgb="FFF4B083"/>
      </left>
      <right/>
      <top style="medium">
        <color rgb="FFF4B083"/>
      </top>
      <bottom style="medium">
        <color rgb="FFF4B083"/>
      </bottom>
      <diagonal/>
    </border>
    <border>
      <left/>
      <right/>
      <top style="medium">
        <color rgb="FFF4B083"/>
      </top>
      <bottom style="medium">
        <color rgb="FFF4B083"/>
      </bottom>
      <diagonal/>
    </border>
    <border>
      <left/>
      <right style="medium">
        <color rgb="FFF4B083"/>
      </right>
      <top style="medium">
        <color rgb="FFF4B083"/>
      </top>
      <bottom style="medium">
        <color rgb="FFF4B083"/>
      </bottom>
      <diagonal/>
    </border>
    <border>
      <left style="medium">
        <color rgb="FF009999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 style="medium">
        <color rgb="FF009999"/>
      </right>
      <top style="medium">
        <color rgb="FFFFFFFF"/>
      </top>
      <bottom style="medium">
        <color rgb="FFFFFFFF"/>
      </bottom>
      <diagonal/>
    </border>
    <border>
      <left style="medium">
        <color rgb="FF009999"/>
      </left>
      <right style="medium">
        <color rgb="FF009999"/>
      </right>
      <top/>
      <bottom style="medium">
        <color rgb="FF009999"/>
      </bottom>
      <diagonal/>
    </border>
    <border>
      <left/>
      <right style="medium">
        <color rgb="FF009999"/>
      </right>
      <top/>
      <bottom style="medium">
        <color rgb="FF009999"/>
      </bottom>
      <diagonal/>
    </border>
  </borders>
  <cellStyleXfs count="2">
    <xf numFmtId="0" fontId="0" fillId="0" borderId="0"/>
    <xf numFmtId="43" fontId="15" fillId="0" borderId="0" applyFont="0" applyFill="0" applyBorder="0" applyAlignment="0" applyProtection="0"/>
  </cellStyleXfs>
  <cellXfs count="139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6" fillId="0" borderId="1" xfId="0" applyFont="1" applyBorder="1" applyAlignment="1">
      <alignment horizontal="center" vertical="top" wrapText="1" shrinkToFit="1"/>
    </xf>
    <xf numFmtId="0" fontId="3" fillId="0" borderId="1" xfId="0" applyFont="1" applyBorder="1" applyAlignment="1">
      <alignment vertical="top"/>
    </xf>
    <xf numFmtId="0" fontId="3" fillId="0" borderId="0" xfId="0" applyFont="1"/>
    <xf numFmtId="0" fontId="7" fillId="0" borderId="1" xfId="0" applyFont="1" applyBorder="1" applyAlignment="1">
      <alignment horizontal="center" vertical="top" wrapText="1" shrinkToFit="1"/>
    </xf>
    <xf numFmtId="0" fontId="8" fillId="0" borderId="0" xfId="0" applyFont="1" applyAlignment="1">
      <alignment horizontal="center" vertical="top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vertical="top"/>
    </xf>
    <xf numFmtId="0" fontId="3" fillId="0" borderId="0" xfId="0" applyFont="1" applyAlignment="1">
      <alignment vertical="top"/>
    </xf>
    <xf numFmtId="0" fontId="8" fillId="0" borderId="0" xfId="0" applyFont="1" applyAlignment="1">
      <alignment wrapText="1"/>
    </xf>
    <xf numFmtId="0" fontId="10" fillId="0" borderId="0" xfId="0" applyFont="1" applyAlignment="1">
      <alignment horizontal="center" vertical="top"/>
    </xf>
    <xf numFmtId="4" fontId="3" fillId="0" borderId="1" xfId="0" applyNumberFormat="1" applyFont="1" applyBorder="1" applyAlignment="1">
      <alignment vertical="top"/>
    </xf>
    <xf numFmtId="4" fontId="3" fillId="0" borderId="0" xfId="0" applyNumberFormat="1" applyFont="1" applyAlignment="1">
      <alignment vertical="top"/>
    </xf>
    <xf numFmtId="4" fontId="1" fillId="0" borderId="0" xfId="0" applyNumberFormat="1" applyFont="1" applyAlignment="1">
      <alignment vertical="top"/>
    </xf>
    <xf numFmtId="4" fontId="1" fillId="0" borderId="0" xfId="0" applyNumberFormat="1" applyFont="1"/>
    <xf numFmtId="4" fontId="3" fillId="0" borderId="0" xfId="0" applyNumberFormat="1" applyFont="1"/>
    <xf numFmtId="4" fontId="10" fillId="0" borderId="0" xfId="0" applyNumberFormat="1" applyFont="1"/>
    <xf numFmtId="0" fontId="10" fillId="0" borderId="0" xfId="0" applyFont="1"/>
    <xf numFmtId="0" fontId="9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9" fillId="0" borderId="1" xfId="0" applyFont="1" applyBorder="1"/>
    <xf numFmtId="4" fontId="9" fillId="0" borderId="0" xfId="0" applyNumberFormat="1" applyFont="1" applyAlignment="1">
      <alignment vertical="top"/>
    </xf>
    <xf numFmtId="0" fontId="4" fillId="0" borderId="0" xfId="0" applyFont="1" applyAlignment="1">
      <alignment horizontal="center" vertical="top" wrapText="1" shrinkToFit="1"/>
    </xf>
    <xf numFmtId="0" fontId="3" fillId="0" borderId="0" xfId="0" applyFont="1" applyAlignment="1">
      <alignment horizontal="center"/>
    </xf>
    <xf numFmtId="4" fontId="3" fillId="0" borderId="2" xfId="0" applyNumberFormat="1" applyFont="1" applyBorder="1" applyAlignment="1">
      <alignment vertical="top"/>
    </xf>
    <xf numFmtId="0" fontId="3" fillId="0" borderId="0" xfId="0" applyFont="1" applyAlignment="1">
      <alignment horizontal="center" wrapText="1"/>
    </xf>
    <xf numFmtId="0" fontId="9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top" wrapText="1"/>
    </xf>
    <xf numFmtId="0" fontId="11" fillId="0" borderId="0" xfId="0" applyFont="1" applyAlignment="1">
      <alignment horizontal="left" vertical="top" wrapText="1"/>
    </xf>
    <xf numFmtId="0" fontId="8" fillId="0" borderId="0" xfId="0" applyFont="1" applyAlignment="1">
      <alignment horizontal="center" vertical="top" wrapText="1"/>
    </xf>
    <xf numFmtId="0" fontId="3" fillId="0" borderId="0" xfId="0" applyFont="1" applyAlignment="1">
      <alignment horizontal="right" vertical="top" wrapText="1"/>
    </xf>
    <xf numFmtId="0" fontId="1" fillId="0" borderId="0" xfId="0" applyFont="1" applyAlignment="1">
      <alignment horizontal="center" vertical="top" wrapText="1"/>
    </xf>
    <xf numFmtId="0" fontId="11" fillId="0" borderId="0" xfId="0" applyFont="1" applyAlignment="1">
      <alignment horizontal="right" vertical="top" wrapText="1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vertical="top" wrapText="1" shrinkToFit="1"/>
    </xf>
    <xf numFmtId="0" fontId="6" fillId="0" borderId="1" xfId="0" applyFont="1" applyBorder="1" applyAlignment="1">
      <alignment horizontal="center" vertical="top" wrapText="1"/>
    </xf>
    <xf numFmtId="4" fontId="1" fillId="0" borderId="1" xfId="0" applyNumberFormat="1" applyFont="1" applyBorder="1" applyAlignment="1">
      <alignment horizontal="right" vertical="top" wrapText="1"/>
    </xf>
    <xf numFmtId="0" fontId="12" fillId="0" borderId="1" xfId="0" applyFont="1" applyBorder="1" applyAlignment="1">
      <alignment horizontal="center"/>
    </xf>
    <xf numFmtId="0" fontId="1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1" fillId="0" borderId="1" xfId="0" applyFont="1" applyBorder="1" applyAlignment="1">
      <alignment horizontal="center" vertical="top"/>
    </xf>
    <xf numFmtId="0" fontId="9" fillId="0" borderId="1" xfId="0" applyFont="1" applyBorder="1" applyAlignment="1">
      <alignment horizontal="right" vertical="top" wrapText="1"/>
    </xf>
    <xf numFmtId="0" fontId="12" fillId="0" borderId="1" xfId="0" applyFont="1" applyBorder="1" applyAlignment="1">
      <alignment horizontal="center" vertical="top"/>
    </xf>
    <xf numFmtId="3" fontId="9" fillId="0" borderId="1" xfId="0" applyNumberFormat="1" applyFont="1" applyBorder="1" applyAlignment="1">
      <alignment vertical="top"/>
    </xf>
    <xf numFmtId="3" fontId="3" fillId="0" borderId="0" xfId="0" applyNumberFormat="1" applyFont="1"/>
    <xf numFmtId="3" fontId="11" fillId="0" borderId="1" xfId="0" applyNumberFormat="1" applyFont="1" applyBorder="1" applyAlignment="1">
      <alignment horizontal="right" vertical="top" wrapText="1"/>
    </xf>
    <xf numFmtId="3" fontId="3" fillId="0" borderId="1" xfId="0" applyNumberFormat="1" applyFont="1" applyBorder="1" applyAlignment="1">
      <alignment vertical="top"/>
    </xf>
    <xf numFmtId="3" fontId="11" fillId="0" borderId="1" xfId="0" applyNumberFormat="1" applyFont="1" applyBorder="1" applyAlignment="1">
      <alignment horizontal="right" wrapText="1"/>
    </xf>
    <xf numFmtId="3" fontId="3" fillId="0" borderId="1" xfId="0" applyNumberFormat="1" applyFont="1" applyBorder="1"/>
    <xf numFmtId="3" fontId="1" fillId="0" borderId="1" xfId="0" applyNumberFormat="1" applyFont="1" applyBorder="1" applyAlignment="1">
      <alignment vertical="top"/>
    </xf>
    <xf numFmtId="3" fontId="9" fillId="0" borderId="1" xfId="0" applyNumberFormat="1" applyFont="1" applyBorder="1"/>
    <xf numFmtId="0" fontId="8" fillId="0" borderId="0" xfId="0" applyFont="1"/>
    <xf numFmtId="3" fontId="8" fillId="0" borderId="0" xfId="0" applyNumberFormat="1" applyFont="1"/>
    <xf numFmtId="0" fontId="1" fillId="0" borderId="0" xfId="0" applyFont="1" applyAlignment="1">
      <alignment vertical="center"/>
    </xf>
    <xf numFmtId="3" fontId="1" fillId="0" borderId="0" xfId="0" applyNumberFormat="1" applyFont="1"/>
    <xf numFmtId="3" fontId="3" fillId="0" borderId="0" xfId="0" applyNumberFormat="1" applyFont="1" applyAlignment="1">
      <alignment vertical="top"/>
    </xf>
    <xf numFmtId="3" fontId="10" fillId="0" borderId="0" xfId="0" applyNumberFormat="1" applyFont="1" applyAlignment="1">
      <alignment vertical="top"/>
    </xf>
    <xf numFmtId="164" fontId="3" fillId="0" borderId="0" xfId="1" applyNumberFormat="1" applyFont="1" applyAlignment="1">
      <alignment vertical="top"/>
    </xf>
    <xf numFmtId="3" fontId="10" fillId="0" borderId="0" xfId="0" applyNumberFormat="1" applyFont="1"/>
    <xf numFmtId="2" fontId="9" fillId="0" borderId="0" xfId="0" applyNumberFormat="1" applyFont="1"/>
    <xf numFmtId="0" fontId="9" fillId="0" borderId="0" xfId="0" applyFont="1" applyAlignment="1">
      <alignment vertical="top"/>
    </xf>
    <xf numFmtId="165" fontId="1" fillId="0" borderId="0" xfId="0" applyNumberFormat="1" applyFont="1"/>
    <xf numFmtId="2" fontId="1" fillId="0" borderId="0" xfId="0" applyNumberFormat="1" applyFont="1"/>
    <xf numFmtId="165" fontId="3" fillId="0" borderId="0" xfId="0" applyNumberFormat="1" applyFont="1"/>
    <xf numFmtId="164" fontId="9" fillId="0" borderId="0" xfId="1" applyNumberFormat="1" applyFont="1"/>
    <xf numFmtId="164" fontId="9" fillId="0" borderId="0" xfId="1" applyNumberFormat="1" applyFont="1" applyAlignment="1">
      <alignment vertical="top"/>
    </xf>
    <xf numFmtId="43" fontId="9" fillId="0" borderId="0" xfId="1" applyFont="1"/>
    <xf numFmtId="43" fontId="9" fillId="0" borderId="0" xfId="1" applyFont="1" applyAlignment="1">
      <alignment vertical="top"/>
    </xf>
    <xf numFmtId="0" fontId="18" fillId="0" borderId="0" xfId="0" applyFont="1"/>
    <xf numFmtId="164" fontId="18" fillId="0" borderId="0" xfId="0" applyNumberFormat="1" applyFont="1"/>
    <xf numFmtId="164" fontId="18" fillId="0" borderId="0" xfId="1" applyNumberFormat="1" applyFont="1"/>
    <xf numFmtId="164" fontId="1" fillId="0" borderId="1" xfId="0" applyNumberFormat="1" applyFont="1" applyBorder="1" applyAlignment="1">
      <alignment vertical="top"/>
    </xf>
    <xf numFmtId="0" fontId="8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justify" vertical="center" wrapText="1"/>
    </xf>
    <xf numFmtId="0" fontId="1" fillId="0" borderId="9" xfId="0" applyFont="1" applyBorder="1" applyAlignment="1">
      <alignment horizontal="justify" vertical="center" wrapText="1"/>
    </xf>
    <xf numFmtId="43" fontId="1" fillId="0" borderId="9" xfId="1" applyFont="1" applyBorder="1" applyAlignment="1">
      <alignment horizontal="right" vertical="center" wrapText="1"/>
    </xf>
    <xf numFmtId="43" fontId="1" fillId="0" borderId="0" xfId="1" applyFont="1" applyAlignment="1">
      <alignment horizontal="right"/>
    </xf>
    <xf numFmtId="0" fontId="1" fillId="0" borderId="0" xfId="0" applyFont="1" applyAlignment="1">
      <alignment horizontal="justify" vertical="center" wrapText="1"/>
    </xf>
    <xf numFmtId="3" fontId="17" fillId="0" borderId="0" xfId="0" applyNumberFormat="1" applyFont="1" applyAlignment="1">
      <alignment wrapText="1"/>
    </xf>
    <xf numFmtId="3" fontId="0" fillId="0" borderId="0" xfId="0" applyNumberFormat="1" applyAlignment="1">
      <alignment wrapText="1"/>
    </xf>
    <xf numFmtId="3" fontId="0" fillId="0" borderId="0" xfId="0" applyNumberFormat="1" applyAlignment="1">
      <alignment horizontal="center" wrapText="1"/>
    </xf>
    <xf numFmtId="3" fontId="17" fillId="0" borderId="0" xfId="0" applyNumberFormat="1" applyFont="1"/>
    <xf numFmtId="4" fontId="0" fillId="0" borderId="0" xfId="0" applyNumberFormat="1"/>
    <xf numFmtId="3" fontId="0" fillId="0" borderId="0" xfId="0" applyNumberFormat="1"/>
    <xf numFmtId="166" fontId="0" fillId="0" borderId="0" xfId="0" applyNumberFormat="1"/>
    <xf numFmtId="166" fontId="1" fillId="0" borderId="0" xfId="0" applyNumberFormat="1" applyFont="1"/>
    <xf numFmtId="3" fontId="1" fillId="0" borderId="0" xfId="0" applyNumberFormat="1" applyFont="1" applyAlignment="1">
      <alignment horizontal="right"/>
    </xf>
    <xf numFmtId="0" fontId="19" fillId="2" borderId="1" xfId="0" applyFont="1" applyFill="1" applyBorder="1" applyAlignment="1">
      <alignment horizontal="center" vertical="center" wrapText="1"/>
    </xf>
    <xf numFmtId="164" fontId="19" fillId="0" borderId="1" xfId="1" applyNumberFormat="1" applyFont="1" applyBorder="1" applyAlignment="1">
      <alignment horizontal="center" vertical="center" wrapText="1"/>
    </xf>
    <xf numFmtId="164" fontId="20" fillId="0" borderId="1" xfId="1" applyNumberFormat="1" applyFont="1" applyBorder="1" applyAlignment="1">
      <alignment horizontal="center" vertical="center" wrapText="1"/>
    </xf>
    <xf numFmtId="164" fontId="19" fillId="3" borderId="1" xfId="1" applyNumberFormat="1" applyFont="1" applyFill="1" applyBorder="1" applyAlignment="1">
      <alignment horizontal="center" vertical="center" wrapText="1"/>
    </xf>
    <xf numFmtId="164" fontId="20" fillId="3" borderId="1" xfId="1" applyNumberFormat="1" applyFont="1" applyFill="1" applyBorder="1" applyAlignment="1">
      <alignment horizontal="center" vertical="center" wrapText="1"/>
    </xf>
    <xf numFmtId="0" fontId="23" fillId="2" borderId="10" xfId="0" applyFont="1" applyFill="1" applyBorder="1" applyAlignment="1">
      <alignment horizontal="center" vertical="center" wrapText="1"/>
    </xf>
    <xf numFmtId="0" fontId="23" fillId="2" borderId="11" xfId="0" applyFont="1" applyFill="1" applyBorder="1" applyAlignment="1">
      <alignment horizontal="center" vertical="center" wrapText="1"/>
    </xf>
    <xf numFmtId="0" fontId="23" fillId="2" borderId="12" xfId="0" applyFont="1" applyFill="1" applyBorder="1" applyAlignment="1">
      <alignment horizontal="center" vertical="center" wrapText="1"/>
    </xf>
    <xf numFmtId="0" fontId="23" fillId="3" borderId="13" xfId="0" applyFont="1" applyFill="1" applyBorder="1" applyAlignment="1">
      <alignment horizontal="center" vertical="center" wrapText="1"/>
    </xf>
    <xf numFmtId="0" fontId="25" fillId="3" borderId="14" xfId="0" applyFont="1" applyFill="1" applyBorder="1" applyAlignment="1">
      <alignment horizontal="justify" vertical="center" wrapText="1"/>
    </xf>
    <xf numFmtId="3" fontId="25" fillId="3" borderId="14" xfId="0" applyNumberFormat="1" applyFont="1" applyFill="1" applyBorder="1" applyAlignment="1">
      <alignment horizontal="right" vertical="center" wrapText="1"/>
    </xf>
    <xf numFmtId="0" fontId="25" fillId="3" borderId="14" xfId="0" applyFont="1" applyFill="1" applyBorder="1" applyAlignment="1">
      <alignment horizontal="right" vertical="center" wrapText="1"/>
    </xf>
    <xf numFmtId="0" fontId="23" fillId="0" borderId="13" xfId="0" applyFont="1" applyBorder="1" applyAlignment="1">
      <alignment horizontal="center" vertical="center" wrapText="1"/>
    </xf>
    <xf numFmtId="0" fontId="25" fillId="0" borderId="14" xfId="0" applyFont="1" applyBorder="1" applyAlignment="1">
      <alignment horizontal="justify" vertical="center" wrapText="1"/>
    </xf>
    <xf numFmtId="3" fontId="25" fillId="0" borderId="14" xfId="0" applyNumberFormat="1" applyFont="1" applyBorder="1" applyAlignment="1">
      <alignment horizontal="right" vertical="center" wrapText="1"/>
    </xf>
    <xf numFmtId="0" fontId="25" fillId="0" borderId="14" xfId="0" applyFont="1" applyBorder="1" applyAlignment="1">
      <alignment horizontal="right" vertical="center" wrapText="1"/>
    </xf>
    <xf numFmtId="0" fontId="22" fillId="0" borderId="14" xfId="0" applyFont="1" applyBorder="1" applyAlignment="1">
      <alignment vertical="center" wrapText="1"/>
    </xf>
    <xf numFmtId="0" fontId="22" fillId="3" borderId="14" xfId="0" applyFont="1" applyFill="1" applyBorder="1" applyAlignment="1">
      <alignment vertical="center" wrapText="1"/>
    </xf>
    <xf numFmtId="3" fontId="23" fillId="3" borderId="14" xfId="0" applyNumberFormat="1" applyFont="1" applyFill="1" applyBorder="1" applyAlignment="1">
      <alignment horizontal="right" vertical="center" wrapText="1"/>
    </xf>
    <xf numFmtId="3" fontId="23" fillId="0" borderId="14" xfId="0" applyNumberFormat="1" applyFont="1" applyBorder="1" applyAlignment="1">
      <alignment horizontal="right" vertical="center" wrapText="1"/>
    </xf>
    <xf numFmtId="0" fontId="6" fillId="4" borderId="18" xfId="0" applyFont="1" applyFill="1" applyBorder="1" applyAlignment="1">
      <alignment horizontal="center" vertical="center" wrapText="1"/>
    </xf>
    <xf numFmtId="0" fontId="6" fillId="4" borderId="19" xfId="0" applyFont="1" applyFill="1" applyBorder="1" applyAlignment="1">
      <alignment horizontal="center" vertical="center" wrapText="1"/>
    </xf>
    <xf numFmtId="0" fontId="6" fillId="4" borderId="20" xfId="0" applyFont="1" applyFill="1" applyBorder="1" applyAlignment="1">
      <alignment horizontal="center" vertical="center" wrapText="1"/>
    </xf>
    <xf numFmtId="0" fontId="10" fillId="5" borderId="21" xfId="0" applyFont="1" applyFill="1" applyBorder="1" applyAlignment="1">
      <alignment vertical="center" wrapText="1"/>
    </xf>
    <xf numFmtId="3" fontId="3" fillId="5" borderId="22" xfId="0" applyNumberFormat="1" applyFont="1" applyFill="1" applyBorder="1" applyAlignment="1">
      <alignment horizontal="right" vertical="center" wrapText="1"/>
    </xf>
    <xf numFmtId="0" fontId="10" fillId="6" borderId="21" xfId="0" applyFont="1" applyFill="1" applyBorder="1" applyAlignment="1">
      <alignment vertical="center" wrapText="1"/>
    </xf>
    <xf numFmtId="3" fontId="3" fillId="6" borderId="22" xfId="0" applyNumberFormat="1" applyFont="1" applyFill="1" applyBorder="1" applyAlignment="1">
      <alignment horizontal="right" vertical="center" wrapText="1"/>
    </xf>
    <xf numFmtId="3" fontId="10" fillId="5" borderId="22" xfId="0" applyNumberFormat="1" applyFont="1" applyFill="1" applyBorder="1" applyAlignment="1">
      <alignment horizontal="right" vertical="center" wrapText="1"/>
    </xf>
    <xf numFmtId="0" fontId="27" fillId="0" borderId="0" xfId="0" applyFont="1"/>
    <xf numFmtId="167" fontId="0" fillId="0" borderId="0" xfId="0" applyNumberFormat="1"/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left" vertical="top" wrapText="1"/>
    </xf>
    <xf numFmtId="0" fontId="8" fillId="0" borderId="3" xfId="0" applyFont="1" applyBorder="1" applyAlignment="1">
      <alignment horizontal="left" vertical="top" wrapText="1"/>
    </xf>
    <xf numFmtId="0" fontId="8" fillId="0" borderId="4" xfId="0" applyFont="1" applyBorder="1" applyAlignment="1">
      <alignment horizontal="left" vertical="top" wrapText="1"/>
    </xf>
    <xf numFmtId="164" fontId="19" fillId="0" borderId="1" xfId="1" applyNumberFormat="1" applyFont="1" applyBorder="1" applyAlignment="1">
      <alignment horizontal="center" vertical="center" wrapText="1"/>
    </xf>
    <xf numFmtId="164" fontId="19" fillId="3" borderId="1" xfId="1" applyNumberFormat="1" applyFont="1" applyFill="1" applyBorder="1" applyAlignment="1">
      <alignment horizontal="center" vertical="center" wrapText="1"/>
    </xf>
    <xf numFmtId="0" fontId="23" fillId="3" borderId="15" xfId="0" applyFont="1" applyFill="1" applyBorder="1" applyAlignment="1">
      <alignment horizontal="right" vertical="center" wrapText="1"/>
    </xf>
    <xf numFmtId="0" fontId="23" fillId="3" borderId="16" xfId="0" applyFont="1" applyFill="1" applyBorder="1" applyAlignment="1">
      <alignment horizontal="right" vertical="center" wrapText="1"/>
    </xf>
    <xf numFmtId="0" fontId="23" fillId="3" borderId="17" xfId="0" applyFont="1" applyFill="1" applyBorder="1" applyAlignment="1">
      <alignment horizontal="right" vertical="center" wrapText="1"/>
    </xf>
    <xf numFmtId="0" fontId="23" fillId="0" borderId="15" xfId="0" applyFont="1" applyBorder="1" applyAlignment="1">
      <alignment horizontal="right" vertical="center" wrapText="1"/>
    </xf>
    <xf numFmtId="0" fontId="23" fillId="0" borderId="16" xfId="0" applyFont="1" applyBorder="1" applyAlignment="1">
      <alignment horizontal="right" vertical="center" wrapText="1"/>
    </xf>
    <xf numFmtId="0" fontId="23" fillId="0" borderId="17" xfId="0" applyFont="1" applyBorder="1" applyAlignment="1">
      <alignment horizontal="righ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77"/>
  <sheetViews>
    <sheetView tabSelected="1" workbookViewId="0">
      <pane xSplit="2" ySplit="6" topLeftCell="C43" activePane="bottomRight" state="frozen"/>
      <selection pane="topRight" activeCell="C1" sqref="C1"/>
      <selection pane="bottomLeft" activeCell="A7" sqref="A7"/>
      <selection pane="bottomRight" activeCell="C59" sqref="C59"/>
    </sheetView>
  </sheetViews>
  <sheetFormatPr defaultRowHeight="16.5"/>
  <cols>
    <col min="1" max="1" width="9.140625" style="39"/>
    <col min="2" max="2" width="28.7109375" style="2" customWidth="1"/>
    <col min="3" max="3" width="14.140625" style="1" customWidth="1"/>
    <col min="4" max="4" width="13.85546875" style="1" bestFit="1" customWidth="1"/>
    <col min="5" max="5" width="17.5703125" style="1" bestFit="1" customWidth="1"/>
    <col min="6" max="7" width="13.85546875" style="7" bestFit="1" customWidth="1"/>
    <col min="8" max="8" width="27" style="7" bestFit="1" customWidth="1"/>
    <col min="9" max="9" width="15.28515625" style="7" customWidth="1"/>
    <col min="10" max="10" width="13.85546875" style="1" bestFit="1" customWidth="1"/>
    <col min="11" max="11" width="15.42578125" style="7" bestFit="1" customWidth="1"/>
    <col min="12" max="12" width="14.140625" style="1" customWidth="1"/>
    <col min="13" max="13" width="13.28515625" style="7" bestFit="1" customWidth="1"/>
    <col min="14" max="14" width="14.85546875" style="7" customWidth="1"/>
    <col min="15" max="15" width="14.85546875" style="7" bestFit="1" customWidth="1"/>
    <col min="16" max="16" width="13.7109375" style="1" bestFit="1" customWidth="1"/>
    <col min="17" max="17" width="9.140625" style="1"/>
    <col min="18" max="18" width="10.28515625" style="1" bestFit="1" customWidth="1"/>
    <col min="19" max="19" width="10.85546875" style="1" bestFit="1" customWidth="1"/>
    <col min="20" max="23" width="9.140625" style="1"/>
    <col min="24" max="24" width="11" style="1" bestFit="1" customWidth="1"/>
    <col min="25" max="16384" width="9.140625" style="1"/>
  </cols>
  <sheetData>
    <row r="1" spans="1:19">
      <c r="B1" s="13" t="s">
        <v>12</v>
      </c>
      <c r="E1" s="1" t="s">
        <v>34</v>
      </c>
      <c r="F1" s="7" t="s">
        <v>35</v>
      </c>
      <c r="H1" s="7" t="s">
        <v>33</v>
      </c>
      <c r="K1" s="7" t="s">
        <v>20</v>
      </c>
      <c r="O1" s="7" t="s">
        <v>28</v>
      </c>
      <c r="R1" s="7" t="s">
        <v>28</v>
      </c>
    </row>
    <row r="2" spans="1:19">
      <c r="B2" s="23" t="s">
        <v>10</v>
      </c>
      <c r="C2" s="94">
        <v>9.2567000000000004</v>
      </c>
      <c r="D2" s="7" t="s">
        <v>94</v>
      </c>
      <c r="E2" s="4">
        <v>0</v>
      </c>
      <c r="F2" s="4">
        <f>MROUND(E2*10.764,1)</f>
        <v>0</v>
      </c>
      <c r="G2" s="25"/>
      <c r="H2" s="1" t="s">
        <v>34</v>
      </c>
      <c r="I2" s="62">
        <v>0</v>
      </c>
      <c r="J2" s="94">
        <v>9.2567000000000004</v>
      </c>
      <c r="K2" s="62">
        <v>8400000</v>
      </c>
      <c r="L2" s="52">
        <f>J2*K2</f>
        <v>77756280</v>
      </c>
      <c r="O2" s="59" t="s">
        <v>30</v>
      </c>
      <c r="P2" s="60">
        <f>C33</f>
        <v>68093262</v>
      </c>
      <c r="R2" s="20">
        <f>P2*0.025/12</f>
        <v>141860.96249999999</v>
      </c>
      <c r="S2" s="18" t="s">
        <v>29</v>
      </c>
    </row>
    <row r="3" spans="1:19">
      <c r="B3" s="24" t="s">
        <v>5</v>
      </c>
      <c r="C3" s="95">
        <v>4500000</v>
      </c>
      <c r="D3" s="15"/>
      <c r="E3" s="26"/>
      <c r="F3" s="26"/>
      <c r="G3" s="15"/>
      <c r="H3" s="1" t="s">
        <v>35</v>
      </c>
      <c r="I3" s="62">
        <f>MROUND(I2/10.764,1)</f>
        <v>0</v>
      </c>
      <c r="J3" s="62"/>
      <c r="K3" s="52"/>
      <c r="L3" s="52">
        <f>N16</f>
        <v>26438112</v>
      </c>
      <c r="O3" s="59" t="s">
        <v>30</v>
      </c>
      <c r="P3" s="60">
        <f>C33</f>
        <v>68093262</v>
      </c>
      <c r="Q3" s="7"/>
      <c r="R3" s="20">
        <f>P3*0.04/12</f>
        <v>226977.54</v>
      </c>
      <c r="S3" s="61" t="s">
        <v>31</v>
      </c>
    </row>
    <row r="4" spans="1:19">
      <c r="B4" s="31" t="s">
        <v>15</v>
      </c>
      <c r="C4" s="52">
        <f>ROUND((C2*C3),0)</f>
        <v>41655150</v>
      </c>
      <c r="F4" s="22"/>
      <c r="G4" s="22"/>
      <c r="I4" s="52"/>
      <c r="J4" s="62"/>
      <c r="K4" s="52"/>
      <c r="L4" s="52">
        <f>SUM(L2:L3)</f>
        <v>104194392</v>
      </c>
      <c r="O4" s="59" t="s">
        <v>30</v>
      </c>
      <c r="P4" s="60">
        <f>C33</f>
        <v>68093262</v>
      </c>
      <c r="Q4" s="7"/>
      <c r="R4" s="20">
        <f>P4*0.033/12</f>
        <v>187256.47050000002</v>
      </c>
      <c r="S4" s="18" t="s">
        <v>32</v>
      </c>
    </row>
    <row r="5" spans="1:19">
      <c r="B5" s="13" t="s">
        <v>13</v>
      </c>
    </row>
    <row r="6" spans="1:19" s="3" customFormat="1" ht="60">
      <c r="A6" s="40" t="s">
        <v>19</v>
      </c>
      <c r="B6" s="4" t="s">
        <v>22</v>
      </c>
      <c r="C6" s="4" t="s">
        <v>25</v>
      </c>
      <c r="D6" s="4" t="s">
        <v>0</v>
      </c>
      <c r="E6" s="4" t="s">
        <v>1</v>
      </c>
      <c r="F6" s="4" t="s">
        <v>2</v>
      </c>
      <c r="G6" s="4" t="s">
        <v>37</v>
      </c>
      <c r="H6" s="5" t="s">
        <v>24</v>
      </c>
      <c r="I6" s="5" t="s">
        <v>23</v>
      </c>
      <c r="J6" s="8" t="s">
        <v>3</v>
      </c>
      <c r="K6" s="8" t="s">
        <v>4</v>
      </c>
      <c r="L6" s="5" t="s">
        <v>38</v>
      </c>
      <c r="M6" s="42" t="s">
        <v>21</v>
      </c>
      <c r="N6" s="42" t="s">
        <v>39</v>
      </c>
      <c r="O6" s="42" t="s">
        <v>40</v>
      </c>
    </row>
    <row r="7" spans="1:19" s="3" customFormat="1" ht="15">
      <c r="A7" s="40"/>
      <c r="B7" s="4"/>
      <c r="C7" s="5" t="s">
        <v>36</v>
      </c>
      <c r="D7" s="4"/>
      <c r="E7" s="4"/>
      <c r="F7" s="4"/>
      <c r="G7" s="41" t="s">
        <v>26</v>
      </c>
      <c r="H7" s="5"/>
      <c r="I7" s="5"/>
      <c r="J7" s="8"/>
      <c r="K7" s="8"/>
      <c r="L7" s="8" t="s">
        <v>27</v>
      </c>
      <c r="M7" s="8" t="s">
        <v>27</v>
      </c>
      <c r="N7" s="8" t="s">
        <v>27</v>
      </c>
      <c r="O7" s="8" t="s">
        <v>27</v>
      </c>
    </row>
    <row r="8" spans="1:19" s="11" customFormat="1">
      <c r="A8" s="48">
        <v>1</v>
      </c>
      <c r="B8" s="67" t="s">
        <v>42</v>
      </c>
      <c r="C8" s="74">
        <v>21120</v>
      </c>
      <c r="D8" s="49">
        <v>2014</v>
      </c>
      <c r="E8" s="49">
        <v>2024</v>
      </c>
      <c r="F8" s="49">
        <v>50</v>
      </c>
      <c r="G8" s="53">
        <v>1400</v>
      </c>
      <c r="H8" s="54">
        <f t="shared" ref="H8" si="0">E8-D8</f>
        <v>10</v>
      </c>
      <c r="I8" s="54">
        <f t="shared" ref="I8" si="1">F8-H8</f>
        <v>40</v>
      </c>
      <c r="J8" s="54">
        <f t="shared" ref="J8" si="2">IF(H8&gt;=5,90*H8/F8,0)</f>
        <v>18</v>
      </c>
      <c r="K8" s="54">
        <f t="shared" ref="K8" si="3">G8/100*J8</f>
        <v>252</v>
      </c>
      <c r="L8" s="54">
        <f t="shared" ref="L8" si="4">ROUND((G8-K8),0)</f>
        <v>1148</v>
      </c>
      <c r="M8" s="54">
        <f t="shared" ref="M8" si="5">O8-N8</f>
        <v>5322240</v>
      </c>
      <c r="N8" s="54">
        <f t="shared" ref="N8" si="6">ROUND((L8*C8),0)</f>
        <v>24245760</v>
      </c>
      <c r="O8" s="54">
        <f t="shared" ref="O8" si="7">ROUND((C8*G8),0)</f>
        <v>29568000</v>
      </c>
    </row>
    <row r="9" spans="1:19" s="11" customFormat="1">
      <c r="A9" s="50">
        <v>2</v>
      </c>
      <c r="B9" s="67" t="s">
        <v>44</v>
      </c>
      <c r="C9" s="74">
        <v>768</v>
      </c>
      <c r="D9" s="49">
        <v>2014</v>
      </c>
      <c r="E9" s="49">
        <v>2024</v>
      </c>
      <c r="F9" s="49">
        <v>50</v>
      </c>
      <c r="G9" s="53">
        <v>500</v>
      </c>
      <c r="H9" s="54">
        <f t="shared" ref="H9:H11" si="8">E9-D9</f>
        <v>10</v>
      </c>
      <c r="I9" s="54">
        <f t="shared" ref="I9:I15" si="9">F9-H9</f>
        <v>40</v>
      </c>
      <c r="J9" s="54">
        <f t="shared" ref="J9:J11" si="10">IF(H9&gt;=5,90*H9/F9,0)</f>
        <v>18</v>
      </c>
      <c r="K9" s="54">
        <f t="shared" ref="K9:K11" si="11">G9/100*J9</f>
        <v>90</v>
      </c>
      <c r="L9" s="54">
        <f t="shared" ref="L9:L11" si="12">ROUND((G9-K9),0)</f>
        <v>410</v>
      </c>
      <c r="M9" s="54">
        <f t="shared" ref="M9:M11" si="13">O9-N9</f>
        <v>69120</v>
      </c>
      <c r="N9" s="54">
        <f t="shared" ref="N9:N11" si="14">ROUND((L9*C9),0)</f>
        <v>314880</v>
      </c>
      <c r="O9" s="54">
        <f t="shared" ref="O9:O11" si="15">ROUND((C9*G9),0)</f>
        <v>384000</v>
      </c>
    </row>
    <row r="10" spans="1:19" s="11" customFormat="1" ht="17.25" customHeight="1">
      <c r="A10" s="48">
        <v>3</v>
      </c>
      <c r="B10" s="68" t="s">
        <v>45</v>
      </c>
      <c r="C10" s="75">
        <v>648</v>
      </c>
      <c r="D10" s="49">
        <v>2014</v>
      </c>
      <c r="E10" s="49">
        <v>2024</v>
      </c>
      <c r="F10" s="49">
        <v>50</v>
      </c>
      <c r="G10" s="53">
        <v>700</v>
      </c>
      <c r="H10" s="54">
        <f t="shared" si="8"/>
        <v>10</v>
      </c>
      <c r="I10" s="54">
        <f t="shared" si="9"/>
        <v>40</v>
      </c>
      <c r="J10" s="54">
        <f t="shared" si="10"/>
        <v>18</v>
      </c>
      <c r="K10" s="54">
        <f t="shared" si="11"/>
        <v>126</v>
      </c>
      <c r="L10" s="54">
        <f t="shared" si="12"/>
        <v>574</v>
      </c>
      <c r="M10" s="54">
        <f t="shared" si="13"/>
        <v>81648</v>
      </c>
      <c r="N10" s="54">
        <f t="shared" si="14"/>
        <v>371952</v>
      </c>
      <c r="O10" s="54">
        <f t="shared" si="15"/>
        <v>453600</v>
      </c>
    </row>
    <row r="11" spans="1:19" s="11" customFormat="1">
      <c r="A11" s="50">
        <v>4</v>
      </c>
      <c r="B11" s="22" t="s">
        <v>46</v>
      </c>
      <c r="C11" s="74">
        <v>900</v>
      </c>
      <c r="D11" s="49">
        <v>2014</v>
      </c>
      <c r="E11" s="49">
        <v>2024</v>
      </c>
      <c r="F11" s="49">
        <v>50</v>
      </c>
      <c r="G11" s="53">
        <v>400</v>
      </c>
      <c r="H11" s="54">
        <f t="shared" si="8"/>
        <v>10</v>
      </c>
      <c r="I11" s="54">
        <f t="shared" si="9"/>
        <v>40</v>
      </c>
      <c r="J11" s="54">
        <f t="shared" si="10"/>
        <v>18</v>
      </c>
      <c r="K11" s="54">
        <f t="shared" si="11"/>
        <v>72</v>
      </c>
      <c r="L11" s="54">
        <f t="shared" si="12"/>
        <v>328</v>
      </c>
      <c r="M11" s="54">
        <f t="shared" si="13"/>
        <v>64800</v>
      </c>
      <c r="N11" s="54">
        <f t="shared" si="14"/>
        <v>295200</v>
      </c>
      <c r="O11" s="54">
        <f t="shared" si="15"/>
        <v>360000</v>
      </c>
    </row>
    <row r="12" spans="1:19" s="11" customFormat="1">
      <c r="A12" s="48">
        <v>5</v>
      </c>
      <c r="B12" s="22" t="s">
        <v>47</v>
      </c>
      <c r="C12" s="74">
        <v>603</v>
      </c>
      <c r="D12" s="49">
        <v>2014</v>
      </c>
      <c r="E12" s="49">
        <v>2024</v>
      </c>
      <c r="F12" s="49">
        <v>50</v>
      </c>
      <c r="G12" s="53">
        <v>2000</v>
      </c>
      <c r="H12" s="54">
        <f t="shared" ref="H12:H15" si="16">E12-D12</f>
        <v>10</v>
      </c>
      <c r="I12" s="54">
        <f t="shared" si="9"/>
        <v>40</v>
      </c>
      <c r="J12" s="54">
        <f t="shared" ref="J12:J15" si="17">IF(H12&gt;=5,90*H12/F12,0)</f>
        <v>18</v>
      </c>
      <c r="K12" s="54">
        <f t="shared" ref="K12:K15" si="18">G12/100*J12</f>
        <v>360</v>
      </c>
      <c r="L12" s="54">
        <f t="shared" ref="L12:L15" si="19">ROUND((G12-K12),0)</f>
        <v>1640</v>
      </c>
      <c r="M12" s="54">
        <f t="shared" ref="M12:M15" si="20">O12-N12</f>
        <v>217080</v>
      </c>
      <c r="N12" s="54">
        <f t="shared" ref="N12:N15" si="21">ROUND((L12*C12),0)</f>
        <v>988920</v>
      </c>
      <c r="O12" s="54">
        <f t="shared" ref="O12:O15" si="22">ROUND((C12*G12),0)</f>
        <v>1206000</v>
      </c>
    </row>
    <row r="13" spans="1:19">
      <c r="A13" s="44">
        <v>6</v>
      </c>
      <c r="B13" s="67" t="s">
        <v>48</v>
      </c>
      <c r="C13" s="74">
        <v>540</v>
      </c>
      <c r="D13" s="49">
        <v>2014</v>
      </c>
      <c r="E13" s="49">
        <v>2024</v>
      </c>
      <c r="F13" s="49">
        <v>50</v>
      </c>
      <c r="G13" s="55">
        <v>500</v>
      </c>
      <c r="H13" s="54">
        <f t="shared" si="16"/>
        <v>10</v>
      </c>
      <c r="I13" s="54">
        <f t="shared" si="9"/>
        <v>40</v>
      </c>
      <c r="J13" s="54">
        <f t="shared" si="17"/>
        <v>18</v>
      </c>
      <c r="K13" s="54">
        <f t="shared" si="18"/>
        <v>90</v>
      </c>
      <c r="L13" s="54">
        <f t="shared" si="19"/>
        <v>410</v>
      </c>
      <c r="M13" s="56">
        <f t="shared" si="20"/>
        <v>48600</v>
      </c>
      <c r="N13" s="54">
        <f t="shared" si="21"/>
        <v>221400</v>
      </c>
      <c r="O13" s="54">
        <f t="shared" si="22"/>
        <v>270000</v>
      </c>
    </row>
    <row r="14" spans="1:19">
      <c r="A14" s="24">
        <v>7</v>
      </c>
      <c r="B14" s="45"/>
      <c r="C14" s="43">
        <v>0</v>
      </c>
      <c r="D14" s="32">
        <v>0</v>
      </c>
      <c r="E14" s="32">
        <v>0</v>
      </c>
      <c r="F14" s="32">
        <v>60</v>
      </c>
      <c r="G14" s="55">
        <v>0</v>
      </c>
      <c r="H14" s="54">
        <f t="shared" si="16"/>
        <v>0</v>
      </c>
      <c r="I14" s="54">
        <f t="shared" si="9"/>
        <v>60</v>
      </c>
      <c r="J14" s="54">
        <f t="shared" si="17"/>
        <v>0</v>
      </c>
      <c r="K14" s="54">
        <f t="shared" si="18"/>
        <v>0</v>
      </c>
      <c r="L14" s="54">
        <f t="shared" si="19"/>
        <v>0</v>
      </c>
      <c r="M14" s="56">
        <f t="shared" si="20"/>
        <v>0</v>
      </c>
      <c r="N14" s="54">
        <f t="shared" si="21"/>
        <v>0</v>
      </c>
      <c r="O14" s="54">
        <f t="shared" si="22"/>
        <v>0</v>
      </c>
    </row>
    <row r="15" spans="1:19">
      <c r="A15" s="44">
        <v>8</v>
      </c>
      <c r="B15" s="45"/>
      <c r="C15" s="43">
        <v>0</v>
      </c>
      <c r="D15" s="32">
        <v>0</v>
      </c>
      <c r="E15" s="32">
        <v>0</v>
      </c>
      <c r="F15" s="32">
        <v>60</v>
      </c>
      <c r="G15" s="55">
        <v>0</v>
      </c>
      <c r="H15" s="54">
        <f t="shared" si="16"/>
        <v>0</v>
      </c>
      <c r="I15" s="54">
        <f t="shared" si="9"/>
        <v>60</v>
      </c>
      <c r="J15" s="54">
        <f t="shared" si="17"/>
        <v>0</v>
      </c>
      <c r="K15" s="54">
        <f t="shared" si="18"/>
        <v>0</v>
      </c>
      <c r="L15" s="54">
        <f t="shared" si="19"/>
        <v>0</v>
      </c>
      <c r="M15" s="56">
        <f t="shared" si="20"/>
        <v>0</v>
      </c>
      <c r="N15" s="54">
        <f t="shared" si="21"/>
        <v>0</v>
      </c>
      <c r="O15" s="54">
        <f t="shared" si="22"/>
        <v>0</v>
      </c>
    </row>
    <row r="16" spans="1:19">
      <c r="A16" s="24"/>
      <c r="B16" s="46"/>
      <c r="C16" s="79">
        <f>SUM(C8:C15)</f>
        <v>24579</v>
      </c>
      <c r="D16" s="47"/>
      <c r="E16" s="47"/>
      <c r="F16" s="6"/>
      <c r="G16" s="54"/>
      <c r="H16" s="54"/>
      <c r="I16" s="54"/>
      <c r="J16" s="57"/>
      <c r="K16" s="54"/>
      <c r="L16" s="57"/>
      <c r="M16" s="54">
        <f>SUM(M8:M15)</f>
        <v>5803488</v>
      </c>
      <c r="N16" s="54">
        <f>SUM(N8:N15)</f>
        <v>26438112</v>
      </c>
      <c r="O16" s="54">
        <f>SUM(O8:O15)</f>
        <v>32241600</v>
      </c>
    </row>
    <row r="17" spans="1:15">
      <c r="B17" s="10"/>
      <c r="C17" s="11"/>
      <c r="D17" s="11"/>
      <c r="E17" s="11"/>
      <c r="F17" s="12"/>
      <c r="G17" s="12"/>
      <c r="H17" s="12"/>
      <c r="I17" s="12"/>
      <c r="J17" s="11"/>
      <c r="K17" s="16"/>
      <c r="L17" s="17"/>
      <c r="M17" s="12"/>
      <c r="N17" s="27"/>
      <c r="O17" s="27"/>
    </row>
    <row r="18" spans="1:15">
      <c r="B18" s="128" t="s">
        <v>17</v>
      </c>
      <c r="C18" s="128"/>
      <c r="D18" s="11"/>
      <c r="E18" s="11"/>
      <c r="F18" s="12"/>
      <c r="G18" s="12"/>
      <c r="H18" s="12"/>
      <c r="I18" s="12"/>
      <c r="J18" s="11"/>
      <c r="K18" s="16"/>
      <c r="L18" s="17"/>
      <c r="M18" s="12"/>
      <c r="N18" s="27"/>
      <c r="O18" s="27"/>
    </row>
    <row r="19" spans="1:15">
      <c r="B19" s="23" t="s">
        <v>16</v>
      </c>
      <c r="C19" s="58">
        <v>0</v>
      </c>
      <c r="D19" s="11"/>
      <c r="E19" s="11"/>
      <c r="F19" s="12"/>
      <c r="G19" s="12"/>
      <c r="H19" s="12"/>
      <c r="I19" s="12"/>
      <c r="J19" s="11"/>
      <c r="K19" s="16"/>
      <c r="L19" s="17"/>
      <c r="M19" s="12"/>
      <c r="N19" s="27"/>
      <c r="O19" s="27"/>
    </row>
    <row r="20" spans="1:15">
      <c r="B20" s="24" t="s">
        <v>5</v>
      </c>
      <c r="C20" s="51">
        <v>0</v>
      </c>
      <c r="D20" s="11"/>
      <c r="E20" s="11"/>
      <c r="F20" s="12"/>
      <c r="G20" s="12">
        <v>9.2567000000000004</v>
      </c>
      <c r="H20" s="12" t="s">
        <v>94</v>
      </c>
      <c r="I20" s="12"/>
      <c r="J20" s="11"/>
      <c r="K20" s="16"/>
      <c r="L20" s="17"/>
      <c r="M20" s="12"/>
      <c r="N20" s="27"/>
      <c r="O20" s="27"/>
    </row>
    <row r="21" spans="1:15">
      <c r="B21" s="24" t="s">
        <v>6</v>
      </c>
      <c r="C21" s="56">
        <f>ROUND((C19*C20),0)</f>
        <v>0</v>
      </c>
      <c r="D21" s="11"/>
      <c r="E21" s="11"/>
      <c r="F21" s="12"/>
      <c r="G21" s="124">
        <v>914.95215415755399</v>
      </c>
      <c r="H21" s="12" t="s">
        <v>143</v>
      </c>
      <c r="I21" s="12"/>
      <c r="J21" s="11"/>
      <c r="K21" s="16"/>
      <c r="L21" s="17"/>
      <c r="M21" s="12"/>
      <c r="N21" s="27"/>
      <c r="O21" s="27"/>
    </row>
    <row r="22" spans="1:15">
      <c r="B22" s="10"/>
      <c r="C22" s="11"/>
      <c r="D22" s="11"/>
      <c r="E22" s="11"/>
      <c r="F22" s="12"/>
      <c r="G22" s="12"/>
      <c r="H22" s="12"/>
      <c r="I22" s="12"/>
      <c r="J22" s="11"/>
      <c r="K22" s="16"/>
      <c r="L22" s="17"/>
      <c r="M22" s="12"/>
      <c r="N22" s="27"/>
      <c r="O22" s="27"/>
    </row>
    <row r="23" spans="1:15" ht="22.5" customHeight="1">
      <c r="B23" s="129" t="s">
        <v>14</v>
      </c>
      <c r="C23" s="130"/>
      <c r="D23" s="11"/>
      <c r="E23" s="11"/>
      <c r="F23" s="12"/>
      <c r="G23" s="12"/>
      <c r="H23" s="12"/>
      <c r="I23" s="12"/>
      <c r="J23" s="11"/>
      <c r="K23" s="12"/>
      <c r="L23" s="11"/>
      <c r="M23" s="12"/>
      <c r="N23" s="12"/>
      <c r="O23" s="12"/>
    </row>
    <row r="24" spans="1:15">
      <c r="B24" s="23" t="s">
        <v>10</v>
      </c>
      <c r="C24" s="58">
        <v>0</v>
      </c>
      <c r="E24" s="28"/>
      <c r="F24" s="28"/>
      <c r="G24" s="29"/>
      <c r="H24" s="14"/>
      <c r="I24" s="14"/>
      <c r="L24" s="21"/>
    </row>
    <row r="25" spans="1:15">
      <c r="B25" s="24" t="s">
        <v>5</v>
      </c>
      <c r="C25" s="51">
        <v>0</v>
      </c>
      <c r="D25" s="30"/>
      <c r="E25" s="22"/>
      <c r="F25" s="22"/>
      <c r="G25" s="16"/>
      <c r="H25" s="14"/>
      <c r="I25" s="14"/>
      <c r="L25" s="21"/>
    </row>
    <row r="26" spans="1:15">
      <c r="B26" s="24" t="s">
        <v>6</v>
      </c>
      <c r="C26" s="56">
        <f>ROUND((C24*C25),0)</f>
        <v>0</v>
      </c>
      <c r="D26" s="9"/>
      <c r="E26" s="9"/>
      <c r="F26" s="21"/>
      <c r="H26" s="14"/>
      <c r="I26" s="14"/>
      <c r="L26" s="21" t="s">
        <v>144</v>
      </c>
    </row>
    <row r="27" spans="1:15">
      <c r="B27" s="39"/>
      <c r="C27" s="19"/>
      <c r="D27" s="9"/>
      <c r="E27" s="9"/>
      <c r="F27" s="21"/>
      <c r="H27" s="14"/>
      <c r="I27" s="14"/>
      <c r="L27" s="21"/>
    </row>
    <row r="28" spans="1:15">
      <c r="C28" s="9"/>
      <c r="D28" s="9"/>
      <c r="E28" s="9"/>
      <c r="F28" s="21"/>
      <c r="H28" s="14"/>
      <c r="I28" s="14"/>
      <c r="L28" s="21"/>
    </row>
    <row r="29" spans="1:15">
      <c r="B29" s="2" t="s">
        <v>12</v>
      </c>
      <c r="C29" s="63">
        <f>C4</f>
        <v>41655150</v>
      </c>
      <c r="D29" s="19"/>
      <c r="E29" s="19"/>
      <c r="F29" s="19"/>
      <c r="G29" s="19"/>
      <c r="H29" s="20"/>
      <c r="I29" s="66">
        <v>11</v>
      </c>
      <c r="L29" s="18"/>
    </row>
    <row r="30" spans="1:15">
      <c r="B30" s="2" t="s">
        <v>13</v>
      </c>
      <c r="C30" s="63">
        <f>N16</f>
        <v>26438112</v>
      </c>
      <c r="D30" s="19"/>
      <c r="E30" s="19"/>
      <c r="F30" s="19"/>
      <c r="G30" s="19"/>
      <c r="H30" s="20"/>
      <c r="I30" s="20"/>
      <c r="L30" s="20"/>
    </row>
    <row r="31" spans="1:15">
      <c r="B31" s="2" t="s">
        <v>18</v>
      </c>
      <c r="C31" s="63">
        <f>C21</f>
        <v>0</v>
      </c>
      <c r="D31" s="19"/>
      <c r="E31" s="19"/>
      <c r="F31" s="19"/>
      <c r="G31" s="19"/>
      <c r="H31" s="20"/>
      <c r="I31" s="20"/>
      <c r="L31" s="20"/>
    </row>
    <row r="32" spans="1:15">
      <c r="A32" s="1"/>
      <c r="B32" s="2" t="s">
        <v>11</v>
      </c>
      <c r="C32" s="63">
        <f>C26</f>
        <v>0</v>
      </c>
      <c r="D32" s="19"/>
      <c r="E32" s="19"/>
      <c r="F32" s="19"/>
      <c r="G32" s="19"/>
      <c r="H32" s="20"/>
      <c r="I32" s="20"/>
      <c r="L32" s="20"/>
    </row>
    <row r="33" spans="1:15">
      <c r="A33" s="1"/>
      <c r="B33" s="13" t="s">
        <v>7</v>
      </c>
      <c r="C33" s="64">
        <f>C29+C30+C31+C32</f>
        <v>68093262</v>
      </c>
      <c r="D33" s="18">
        <v>58711420</v>
      </c>
      <c r="E33" s="18">
        <f>C33-D33</f>
        <v>9381842</v>
      </c>
      <c r="F33" s="18">
        <f>C33/D33</f>
        <v>1.1597958625425855</v>
      </c>
      <c r="H33" s="22" t="s">
        <v>49</v>
      </c>
      <c r="J33" s="22"/>
      <c r="K33" s="22" t="s">
        <v>43</v>
      </c>
    </row>
    <row r="34" spans="1:15">
      <c r="A34" s="1"/>
      <c r="B34" s="13" t="s">
        <v>8</v>
      </c>
      <c r="C34" s="64">
        <f>MROUND(C33*85%,1)</f>
        <v>57879273</v>
      </c>
      <c r="D34" s="20"/>
      <c r="F34" s="18"/>
      <c r="H34" s="67" t="s">
        <v>42</v>
      </c>
      <c r="J34" s="22"/>
      <c r="K34" s="72">
        <v>21120</v>
      </c>
    </row>
    <row r="35" spans="1:15">
      <c r="A35" s="1"/>
      <c r="B35" s="13" t="s">
        <v>9</v>
      </c>
      <c r="C35" s="64">
        <f>MROUND(C33*75%,1)</f>
        <v>51069947</v>
      </c>
      <c r="D35" s="20"/>
      <c r="F35" s="18"/>
      <c r="H35" s="67" t="s">
        <v>44</v>
      </c>
      <c r="J35" s="22"/>
      <c r="K35" s="72">
        <v>768</v>
      </c>
    </row>
    <row r="36" spans="1:15" s="11" customFormat="1">
      <c r="B36" s="59" t="s">
        <v>41</v>
      </c>
      <c r="C36" s="65">
        <f>MROUND(C30*0.85,1)</f>
        <v>22472395</v>
      </c>
      <c r="D36" s="10"/>
      <c r="F36" s="12"/>
      <c r="G36" s="12"/>
      <c r="H36" s="68" t="s">
        <v>45</v>
      </c>
      <c r="J36" s="68"/>
      <c r="K36" s="73">
        <v>648</v>
      </c>
      <c r="M36" s="12"/>
      <c r="N36" s="12"/>
      <c r="O36" s="33"/>
    </row>
    <row r="37" spans="1:15">
      <c r="A37" s="1"/>
      <c r="H37" s="22" t="s">
        <v>46</v>
      </c>
      <c r="J37" s="22"/>
      <c r="K37" s="72">
        <v>900</v>
      </c>
      <c r="L37" s="34"/>
      <c r="O37" s="33"/>
    </row>
    <row r="38" spans="1:15">
      <c r="A38" s="1"/>
      <c r="H38" s="22" t="s">
        <v>47</v>
      </c>
      <c r="J38" s="22"/>
      <c r="K38" s="72">
        <v>603</v>
      </c>
      <c r="L38" s="34"/>
      <c r="O38" s="33"/>
    </row>
    <row r="39" spans="1:15">
      <c r="A39" s="1"/>
      <c r="H39" s="67" t="s">
        <v>48</v>
      </c>
      <c r="J39" s="22"/>
      <c r="K39" s="72">
        <v>540</v>
      </c>
      <c r="L39" s="34"/>
      <c r="O39" s="33"/>
    </row>
    <row r="40" spans="1:15">
      <c r="A40" s="1"/>
      <c r="H40" s="76" t="s">
        <v>52</v>
      </c>
      <c r="I40" s="21"/>
      <c r="J40" s="76"/>
      <c r="K40" s="77">
        <f>SUM(K34:K39)</f>
        <v>24579</v>
      </c>
      <c r="L40" s="34"/>
      <c r="O40" s="33"/>
    </row>
    <row r="41" spans="1:15">
      <c r="A41" s="1"/>
      <c r="H41" s="22"/>
      <c r="I41" s="22"/>
      <c r="J41" s="22"/>
      <c r="K41" s="22"/>
      <c r="L41" s="34"/>
      <c r="O41" s="33"/>
    </row>
    <row r="42" spans="1:15">
      <c r="A42" s="1"/>
      <c r="H42" s="22"/>
      <c r="I42" s="22"/>
      <c r="J42" s="22"/>
      <c r="K42" s="22"/>
      <c r="L42" s="34"/>
      <c r="O42" s="33"/>
    </row>
    <row r="43" spans="1:15">
      <c r="A43" s="1"/>
      <c r="H43" s="22" t="s">
        <v>50</v>
      </c>
      <c r="I43" s="22"/>
      <c r="J43" s="22"/>
      <c r="K43" s="22" t="s">
        <v>43</v>
      </c>
      <c r="L43" s="34"/>
      <c r="O43" s="33"/>
    </row>
    <row r="44" spans="1:15">
      <c r="A44" s="1"/>
      <c r="H44" s="22" t="s">
        <v>42</v>
      </c>
      <c r="I44" s="22">
        <v>219.75</v>
      </c>
      <c r="J44" s="67">
        <v>80</v>
      </c>
      <c r="K44" s="72">
        <v>17580</v>
      </c>
    </row>
    <row r="45" spans="1:15">
      <c r="A45" s="1"/>
      <c r="H45" s="22" t="s">
        <v>51</v>
      </c>
      <c r="I45" s="22">
        <v>10</v>
      </c>
      <c r="J45" s="67">
        <v>16.75</v>
      </c>
      <c r="K45" s="72">
        <v>167.5</v>
      </c>
    </row>
    <row r="46" spans="1:15">
      <c r="A46" s="1"/>
      <c r="B46" s="1"/>
      <c r="H46" s="22" t="s">
        <v>53</v>
      </c>
      <c r="I46" s="22">
        <v>10</v>
      </c>
      <c r="J46" s="67">
        <v>16.75</v>
      </c>
      <c r="K46" s="72">
        <v>167.5</v>
      </c>
    </row>
    <row r="47" spans="1:15">
      <c r="A47" s="1"/>
      <c r="B47" s="1"/>
      <c r="H47" s="22" t="s">
        <v>54</v>
      </c>
      <c r="I47" s="22">
        <v>10</v>
      </c>
      <c r="J47" s="67">
        <v>16.75</v>
      </c>
      <c r="K47" s="72">
        <v>167.5</v>
      </c>
    </row>
    <row r="48" spans="1:15">
      <c r="A48" s="1"/>
      <c r="B48" s="1"/>
      <c r="H48" s="68" t="s">
        <v>45</v>
      </c>
      <c r="J48" s="70"/>
      <c r="K48" s="73">
        <v>648</v>
      </c>
    </row>
    <row r="49" spans="1:11">
      <c r="A49" s="1"/>
      <c r="B49" s="1"/>
      <c r="H49" s="22" t="s">
        <v>46</v>
      </c>
      <c r="I49" s="22">
        <v>11.5</v>
      </c>
      <c r="J49" s="67">
        <v>32.5</v>
      </c>
      <c r="K49" s="72">
        <v>373.75</v>
      </c>
    </row>
    <row r="50" spans="1:11">
      <c r="A50" s="1"/>
      <c r="B50" s="1"/>
      <c r="H50" s="22" t="s">
        <v>55</v>
      </c>
      <c r="I50" s="22">
        <v>32</v>
      </c>
      <c r="J50" s="67">
        <v>21.583333333333332</v>
      </c>
      <c r="K50" s="72">
        <v>690.66666666666663</v>
      </c>
    </row>
    <row r="51" spans="1:11">
      <c r="A51" s="1"/>
      <c r="B51" s="1"/>
      <c r="H51" s="22" t="s">
        <v>56</v>
      </c>
      <c r="I51" s="22">
        <v>30</v>
      </c>
      <c r="J51" s="67">
        <v>25.583333333333332</v>
      </c>
      <c r="K51" s="72">
        <v>767.5</v>
      </c>
    </row>
    <row r="52" spans="1:11">
      <c r="A52" s="1"/>
      <c r="B52" s="1"/>
      <c r="H52" s="76" t="s">
        <v>52</v>
      </c>
      <c r="I52" s="76"/>
      <c r="J52" s="76"/>
      <c r="K52" s="78">
        <f>SUM(K44:K51)</f>
        <v>20562.416666666668</v>
      </c>
    </row>
    <row r="53" spans="1:11">
      <c r="A53" s="1"/>
      <c r="B53" s="1"/>
    </row>
    <row r="54" spans="1:11">
      <c r="A54" s="1"/>
      <c r="B54" s="1"/>
      <c r="H54" s="76" t="s">
        <v>57</v>
      </c>
      <c r="I54" s="76"/>
      <c r="J54" s="76"/>
      <c r="K54" s="77">
        <f>K40-K52</f>
        <v>4016.5833333333321</v>
      </c>
    </row>
    <row r="55" spans="1:11" ht="17.25" thickBot="1">
      <c r="A55" s="1"/>
      <c r="B55" s="1"/>
      <c r="F55" s="35"/>
      <c r="G55" s="35"/>
      <c r="H55" s="35"/>
      <c r="I55" s="35"/>
      <c r="J55" s="13"/>
    </row>
    <row r="56" spans="1:11" ht="26.25" thickBot="1">
      <c r="A56" s="1"/>
      <c r="B56" s="116" t="s">
        <v>22</v>
      </c>
      <c r="C56" s="117" t="s">
        <v>138</v>
      </c>
      <c r="D56" s="117" t="s">
        <v>139</v>
      </c>
      <c r="E56" s="118" t="s">
        <v>140</v>
      </c>
      <c r="F56" s="33"/>
      <c r="G56" s="1"/>
      <c r="H56" s="33"/>
      <c r="I56" s="33"/>
    </row>
    <row r="57" spans="1:11" ht="17.25" thickBot="1">
      <c r="A57" s="1"/>
      <c r="B57" s="119" t="s">
        <v>141</v>
      </c>
      <c r="C57" s="120">
        <v>68093262</v>
      </c>
      <c r="D57" s="120">
        <v>57879273</v>
      </c>
      <c r="E57" s="120">
        <v>51069947</v>
      </c>
      <c r="F57" s="33"/>
      <c r="G57" s="33"/>
      <c r="H57" s="36"/>
      <c r="I57" s="36"/>
    </row>
    <row r="58" spans="1:11" ht="17.25" thickBot="1">
      <c r="A58" s="1"/>
      <c r="B58" s="121" t="s">
        <v>142</v>
      </c>
      <c r="C58" s="122">
        <v>425450</v>
      </c>
      <c r="D58" s="122">
        <v>361633</v>
      </c>
      <c r="E58" s="122">
        <v>297815</v>
      </c>
      <c r="F58" s="33"/>
      <c r="G58" s="33"/>
      <c r="H58" s="33"/>
      <c r="I58" s="33"/>
    </row>
    <row r="59" spans="1:11" ht="17.25" thickBot="1">
      <c r="A59" s="1"/>
      <c r="B59" s="119" t="s">
        <v>52</v>
      </c>
      <c r="C59" s="123">
        <f>SUM(C57:C58)</f>
        <v>68518712</v>
      </c>
      <c r="D59" s="123">
        <f t="shared" ref="D59:E59" si="23">SUM(D57:D58)</f>
        <v>58240906</v>
      </c>
      <c r="E59" s="123">
        <f t="shared" si="23"/>
        <v>51367762</v>
      </c>
      <c r="F59" s="33"/>
      <c r="G59" s="37"/>
      <c r="H59" s="33"/>
      <c r="I59" s="33"/>
    </row>
    <row r="60" spans="1:11">
      <c r="A60" s="1"/>
      <c r="B60" s="1"/>
      <c r="F60" s="33"/>
      <c r="G60" s="33"/>
      <c r="H60" s="33"/>
      <c r="I60" s="33"/>
    </row>
    <row r="61" spans="1:11">
      <c r="A61" s="1"/>
      <c r="B61" s="1"/>
      <c r="F61" s="33"/>
      <c r="G61" s="33"/>
      <c r="H61" s="33"/>
      <c r="I61" s="33"/>
    </row>
    <row r="62" spans="1:11">
      <c r="A62" s="1"/>
      <c r="B62" s="1"/>
      <c r="F62" s="33"/>
      <c r="G62" s="33"/>
      <c r="H62" s="33"/>
      <c r="I62" s="33"/>
    </row>
    <row r="63" spans="1:11">
      <c r="A63" s="1"/>
      <c r="B63" s="1"/>
      <c r="F63" s="33"/>
      <c r="G63" s="33"/>
      <c r="H63" s="33"/>
      <c r="I63" s="33"/>
    </row>
    <row r="64" spans="1:11">
      <c r="A64" s="1"/>
      <c r="B64" s="1"/>
      <c r="F64" s="33"/>
      <c r="G64" s="33"/>
      <c r="H64" s="33"/>
      <c r="I64" s="33"/>
    </row>
    <row r="65" spans="1:16">
      <c r="A65" s="1"/>
      <c r="B65" s="1"/>
      <c r="F65" s="33"/>
      <c r="G65" s="33"/>
      <c r="H65" s="33"/>
      <c r="I65" s="33"/>
    </row>
    <row r="66" spans="1:16" ht="17.25" thickBot="1">
      <c r="A66" s="1"/>
      <c r="B66" s="1"/>
    </row>
    <row r="67" spans="1:16">
      <c r="A67" s="1"/>
      <c r="B67" s="1"/>
      <c r="H67" s="126" t="s">
        <v>58</v>
      </c>
      <c r="I67" s="126" t="s">
        <v>59</v>
      </c>
      <c r="J67" s="126" t="s">
        <v>60</v>
      </c>
      <c r="K67" s="80" t="s">
        <v>61</v>
      </c>
      <c r="L67" s="80" t="s">
        <v>63</v>
      </c>
      <c r="M67" s="126" t="s">
        <v>65</v>
      </c>
    </row>
    <row r="68" spans="1:16" ht="17.25" thickBot="1">
      <c r="A68" s="1"/>
      <c r="B68" s="1"/>
      <c r="H68" s="127"/>
      <c r="I68" s="127"/>
      <c r="J68" s="127"/>
      <c r="K68" s="81" t="s">
        <v>62</v>
      </c>
      <c r="L68" s="81" t="s">
        <v>64</v>
      </c>
      <c r="M68" s="127"/>
    </row>
    <row r="69" spans="1:16" ht="17.25" thickBot="1">
      <c r="A69" s="1"/>
      <c r="B69" s="1"/>
      <c r="H69" s="82" t="s">
        <v>66</v>
      </c>
      <c r="I69" s="83">
        <v>227</v>
      </c>
      <c r="J69" s="83">
        <v>1</v>
      </c>
      <c r="K69" s="83" t="s">
        <v>67</v>
      </c>
      <c r="L69" s="84">
        <f>N69*O69</f>
        <v>11500</v>
      </c>
      <c r="M69" s="83"/>
      <c r="N69" s="7">
        <v>10000</v>
      </c>
      <c r="O69" s="71">
        <v>1.1499999999999999</v>
      </c>
    </row>
    <row r="70" spans="1:16" ht="17.25" thickBot="1">
      <c r="A70" s="1"/>
      <c r="B70" s="1"/>
      <c r="H70" s="82"/>
      <c r="I70" s="83"/>
      <c r="J70" s="83"/>
      <c r="K70" s="83" t="s">
        <v>73</v>
      </c>
      <c r="L70" s="84">
        <f t="shared" ref="L70:L80" si="24">N70*O70</f>
        <v>13000</v>
      </c>
      <c r="M70" s="83"/>
      <c r="N70" s="7">
        <v>10000</v>
      </c>
      <c r="O70" s="71">
        <v>1.3</v>
      </c>
      <c r="P70" s="69">
        <f>O69+O70</f>
        <v>2.4500000000000002</v>
      </c>
    </row>
    <row r="71" spans="1:16" ht="17.25" thickBot="1">
      <c r="A71" s="1"/>
      <c r="B71" s="1"/>
      <c r="H71" s="82"/>
      <c r="I71" s="83">
        <v>227</v>
      </c>
      <c r="J71" s="83" t="s">
        <v>68</v>
      </c>
      <c r="K71" s="83" t="s">
        <v>69</v>
      </c>
      <c r="L71" s="84">
        <f t="shared" si="24"/>
        <v>3330</v>
      </c>
      <c r="M71" s="83"/>
      <c r="N71" s="7">
        <v>10000</v>
      </c>
      <c r="O71" s="71">
        <v>0.33300000000000002</v>
      </c>
    </row>
    <row r="72" spans="1:16" ht="17.25" thickBot="1">
      <c r="A72" s="1"/>
      <c r="B72" s="1"/>
      <c r="H72" s="82"/>
      <c r="I72" s="83"/>
      <c r="J72" s="83"/>
      <c r="K72" s="83" t="s">
        <v>74</v>
      </c>
      <c r="L72" s="84">
        <f t="shared" si="24"/>
        <v>3370</v>
      </c>
      <c r="M72" s="83"/>
      <c r="N72" s="7">
        <v>10000</v>
      </c>
      <c r="O72" s="71">
        <v>0.33700000000000002</v>
      </c>
      <c r="P72" s="69">
        <f>O71+O72</f>
        <v>0.67</v>
      </c>
    </row>
    <row r="73" spans="1:16" ht="17.25" thickBot="1">
      <c r="A73" s="1"/>
      <c r="B73" s="1"/>
      <c r="F73" s="38"/>
      <c r="H73" s="82" t="s">
        <v>70</v>
      </c>
      <c r="I73" s="83">
        <v>227</v>
      </c>
      <c r="J73" s="83">
        <v>1</v>
      </c>
      <c r="K73" s="83" t="s">
        <v>67</v>
      </c>
      <c r="L73" s="84">
        <f t="shared" si="24"/>
        <v>11500</v>
      </c>
      <c r="M73" s="83"/>
      <c r="N73" s="7">
        <v>10000</v>
      </c>
      <c r="O73" s="71">
        <v>1.1499999999999999</v>
      </c>
    </row>
    <row r="74" spans="1:16" ht="17.25" thickBot="1">
      <c r="A74" s="1"/>
      <c r="B74" s="1"/>
      <c r="F74" s="38"/>
      <c r="H74" s="82"/>
      <c r="I74" s="83"/>
      <c r="J74" s="83"/>
      <c r="K74" s="83" t="s">
        <v>73</v>
      </c>
      <c r="L74" s="84">
        <f t="shared" si="24"/>
        <v>13000</v>
      </c>
      <c r="M74" s="83"/>
      <c r="N74" s="7">
        <v>10000</v>
      </c>
      <c r="O74" s="71">
        <v>1.3</v>
      </c>
      <c r="P74" s="69">
        <f>O73+O74</f>
        <v>2.4500000000000002</v>
      </c>
    </row>
    <row r="75" spans="1:16" ht="17.25" thickBot="1">
      <c r="A75" s="1"/>
      <c r="B75" s="1"/>
      <c r="F75" s="38"/>
      <c r="H75" s="82"/>
      <c r="I75" s="83">
        <v>227</v>
      </c>
      <c r="J75" s="83" t="s">
        <v>68</v>
      </c>
      <c r="K75" s="83" t="s">
        <v>69</v>
      </c>
      <c r="L75" s="84">
        <f t="shared" si="24"/>
        <v>3330</v>
      </c>
      <c r="M75" s="83"/>
      <c r="N75" s="7">
        <v>10000</v>
      </c>
      <c r="O75" s="71">
        <v>0.33300000000000002</v>
      </c>
    </row>
    <row r="76" spans="1:16" ht="17.25" thickBot="1">
      <c r="A76" s="1"/>
      <c r="B76" s="1"/>
      <c r="F76" s="38"/>
      <c r="H76" s="82"/>
      <c r="I76" s="83"/>
      <c r="J76" s="83"/>
      <c r="K76" s="83" t="s">
        <v>74</v>
      </c>
      <c r="L76" s="84">
        <f t="shared" si="24"/>
        <v>3370</v>
      </c>
      <c r="M76" s="83"/>
      <c r="N76" s="7">
        <v>10000</v>
      </c>
      <c r="O76" s="71">
        <v>0.33700000000000002</v>
      </c>
      <c r="P76" s="69">
        <f>O75+O76</f>
        <v>0.67</v>
      </c>
    </row>
    <row r="77" spans="1:16" ht="17.25" thickBot="1">
      <c r="A77" s="1"/>
      <c r="B77" s="1"/>
      <c r="F77" s="38"/>
      <c r="H77" s="82" t="s">
        <v>71</v>
      </c>
      <c r="I77" s="83">
        <v>227</v>
      </c>
      <c r="J77" s="83">
        <v>1</v>
      </c>
      <c r="K77" s="83" t="s">
        <v>67</v>
      </c>
      <c r="L77" s="84">
        <f t="shared" si="24"/>
        <v>11500</v>
      </c>
      <c r="M77" s="83"/>
      <c r="N77" s="7">
        <v>10000</v>
      </c>
      <c r="O77" s="71">
        <v>1.1499999999999999</v>
      </c>
    </row>
    <row r="78" spans="1:16" ht="17.25" thickBot="1">
      <c r="A78" s="1"/>
      <c r="B78" s="1"/>
      <c r="F78" s="38"/>
      <c r="H78" s="82"/>
      <c r="I78" s="83"/>
      <c r="J78" s="83"/>
      <c r="K78" s="83" t="s">
        <v>75</v>
      </c>
      <c r="L78" s="84">
        <f t="shared" si="24"/>
        <v>12000</v>
      </c>
      <c r="M78" s="83"/>
      <c r="N78" s="7">
        <v>10000</v>
      </c>
      <c r="O78" s="71">
        <v>1.2</v>
      </c>
      <c r="P78" s="69">
        <f>O77+O78</f>
        <v>2.3499999999999996</v>
      </c>
    </row>
    <row r="79" spans="1:16" ht="17.25" thickBot="1">
      <c r="A79" s="1"/>
      <c r="B79" s="1"/>
      <c r="F79" s="38"/>
      <c r="H79" s="82"/>
      <c r="I79" s="83">
        <v>227</v>
      </c>
      <c r="J79" s="83" t="s">
        <v>68</v>
      </c>
      <c r="K79" s="83" t="s">
        <v>72</v>
      </c>
      <c r="L79" s="84">
        <f t="shared" si="24"/>
        <v>3340</v>
      </c>
      <c r="M79" s="83"/>
      <c r="N79" s="7">
        <v>10000</v>
      </c>
      <c r="O79" s="71">
        <v>0.33400000000000002</v>
      </c>
    </row>
    <row r="80" spans="1:16" ht="17.25" thickBot="1">
      <c r="A80" s="1"/>
      <c r="B80" s="1"/>
      <c r="F80" s="38"/>
      <c r="H80" s="86"/>
      <c r="I80" s="86"/>
      <c r="J80" s="86"/>
      <c r="K80" s="86" t="s">
        <v>76</v>
      </c>
      <c r="L80" s="84">
        <f t="shared" si="24"/>
        <v>3327</v>
      </c>
      <c r="M80" s="86"/>
      <c r="N80" s="7">
        <v>10000</v>
      </c>
      <c r="O80" s="71">
        <v>0.3327</v>
      </c>
      <c r="P80" s="69">
        <f>O79+O80</f>
        <v>0.66670000000000007</v>
      </c>
    </row>
    <row r="81" spans="1:16">
      <c r="A81" s="1"/>
      <c r="B81" s="1"/>
      <c r="F81" s="38"/>
      <c r="L81" s="85">
        <f>SUM(L69:L80)</f>
        <v>92567</v>
      </c>
      <c r="O81" s="7">
        <f>SUM(O69:O80)</f>
        <v>9.2566999999999986</v>
      </c>
      <c r="P81" s="1">
        <f>SUM(P69:P80)</f>
        <v>9.2567000000000004</v>
      </c>
    </row>
    <row r="82" spans="1:16">
      <c r="A82" s="1"/>
      <c r="B82" s="1"/>
      <c r="F82" s="38"/>
    </row>
    <row r="83" spans="1:16">
      <c r="A83" s="1"/>
      <c r="B83" s="1"/>
      <c r="F83" s="38"/>
    </row>
    <row r="84" spans="1:16">
      <c r="A84" s="1"/>
      <c r="B84" s="1"/>
      <c r="F84" s="38"/>
      <c r="L84" s="1">
        <v>4000</v>
      </c>
      <c r="M84" s="7">
        <v>10000</v>
      </c>
      <c r="N84" s="7">
        <f>L84*M84</f>
        <v>40000000</v>
      </c>
    </row>
    <row r="85" spans="1:16">
      <c r="A85" s="1"/>
      <c r="B85" s="1"/>
      <c r="F85" s="38"/>
    </row>
    <row r="86" spans="1:16">
      <c r="A86" s="1"/>
      <c r="B86" s="1"/>
      <c r="F86" s="38"/>
    </row>
    <row r="87" spans="1:16">
      <c r="A87" s="1"/>
      <c r="B87" s="1"/>
    </row>
    <row r="88" spans="1:16">
      <c r="A88" s="1"/>
      <c r="B88" s="1"/>
    </row>
    <row r="89" spans="1:16">
      <c r="A89" s="1"/>
      <c r="B89" s="1"/>
    </row>
    <row r="90" spans="1:16">
      <c r="A90" s="1"/>
      <c r="B90" s="1"/>
    </row>
    <row r="91" spans="1:16">
      <c r="A91" s="1"/>
      <c r="B91" s="1"/>
    </row>
    <row r="92" spans="1:16">
      <c r="A92" s="1"/>
      <c r="B92" s="1"/>
    </row>
    <row r="93" spans="1:16">
      <c r="A93" s="1"/>
      <c r="B93" s="1"/>
    </row>
    <row r="94" spans="1:16">
      <c r="A94" s="1"/>
      <c r="B94" s="1"/>
    </row>
    <row r="95" spans="1:16">
      <c r="A95" s="1"/>
      <c r="B95" s="1"/>
    </row>
    <row r="96" spans="1:16">
      <c r="A96" s="1"/>
      <c r="B96" s="1"/>
    </row>
    <row r="97" spans="1:8">
      <c r="A97" s="1"/>
      <c r="B97" s="1"/>
    </row>
    <row r="98" spans="1:8">
      <c r="A98" s="1"/>
      <c r="B98" s="1"/>
    </row>
    <row r="99" spans="1:8">
      <c r="A99" s="1"/>
      <c r="B99" s="1"/>
    </row>
    <row r="100" spans="1:8">
      <c r="A100" s="1"/>
      <c r="B100" s="1"/>
    </row>
    <row r="101" spans="1:8">
      <c r="A101" s="1"/>
      <c r="B101" s="1"/>
    </row>
    <row r="102" spans="1:8">
      <c r="A102" s="1"/>
      <c r="B102" s="1"/>
    </row>
    <row r="103" spans="1:8">
      <c r="A103" s="1"/>
      <c r="B103" s="1"/>
    </row>
    <row r="104" spans="1:8">
      <c r="A104" s="1"/>
      <c r="B104" s="1"/>
    </row>
    <row r="105" spans="1:8">
      <c r="A105" s="1"/>
      <c r="B105" s="1"/>
      <c r="H105" s="7">
        <v>58711420</v>
      </c>
    </row>
    <row r="106" spans="1:8">
      <c r="A106" s="1"/>
      <c r="B106" s="1"/>
      <c r="H106" s="7">
        <v>49904707</v>
      </c>
    </row>
    <row r="107" spans="1:8">
      <c r="A107" s="1"/>
      <c r="B107" s="1"/>
      <c r="H107" s="7">
        <f>H106/H105</f>
        <v>0.85</v>
      </c>
    </row>
    <row r="108" spans="1:8">
      <c r="A108" s="1"/>
      <c r="B108" s="1"/>
      <c r="H108" s="7">
        <v>44033565</v>
      </c>
    </row>
    <row r="109" spans="1:8">
      <c r="A109" s="1"/>
      <c r="B109" s="1"/>
      <c r="H109" s="7">
        <f>H108/H105</f>
        <v>0.75</v>
      </c>
    </row>
    <row r="110" spans="1:8">
      <c r="A110" s="1"/>
      <c r="B110" s="1"/>
    </row>
    <row r="111" spans="1:8">
      <c r="A111" s="1"/>
      <c r="B111" s="1"/>
    </row>
    <row r="112" spans="1:8">
      <c r="A112" s="1"/>
      <c r="B112" s="1"/>
    </row>
    <row r="113" spans="1:2">
      <c r="A113" s="1"/>
      <c r="B113" s="1"/>
    </row>
    <row r="114" spans="1:2">
      <c r="A114" s="1"/>
      <c r="B114" s="1"/>
    </row>
    <row r="115" spans="1:2">
      <c r="A115" s="1"/>
      <c r="B115" s="1"/>
    </row>
    <row r="116" spans="1:2">
      <c r="A116" s="1"/>
      <c r="B116" s="1"/>
    </row>
    <row r="117" spans="1:2">
      <c r="A117" s="1"/>
      <c r="B117" s="1"/>
    </row>
    <row r="118" spans="1:2">
      <c r="A118" s="1"/>
      <c r="B118" s="1"/>
    </row>
    <row r="119" spans="1:2">
      <c r="A119" s="1"/>
      <c r="B119" s="1"/>
    </row>
    <row r="120" spans="1:2">
      <c r="A120" s="1"/>
      <c r="B120" s="1"/>
    </row>
    <row r="121" spans="1:2">
      <c r="A121" s="1"/>
      <c r="B121" s="1"/>
    </row>
    <row r="122" spans="1:2">
      <c r="A122" s="1"/>
      <c r="B122" s="1"/>
    </row>
    <row r="123" spans="1:2">
      <c r="A123" s="1"/>
      <c r="B123" s="1"/>
    </row>
    <row r="124" spans="1:2">
      <c r="A124" s="1"/>
      <c r="B124" s="1"/>
    </row>
    <row r="125" spans="1:2">
      <c r="A125" s="1"/>
      <c r="B125" s="1"/>
    </row>
    <row r="126" spans="1:2">
      <c r="A126" s="1"/>
      <c r="B126" s="1"/>
    </row>
    <row r="127" spans="1:2">
      <c r="A127" s="1"/>
      <c r="B127" s="1"/>
    </row>
    <row r="128" spans="1:2">
      <c r="A128" s="1"/>
      <c r="B128" s="1"/>
    </row>
    <row r="129" spans="1:2">
      <c r="A129" s="1"/>
      <c r="B129" s="1"/>
    </row>
    <row r="130" spans="1:2">
      <c r="A130" s="1"/>
      <c r="B130" s="1"/>
    </row>
    <row r="131" spans="1:2">
      <c r="A131" s="1"/>
      <c r="B131" s="1"/>
    </row>
    <row r="132" spans="1:2">
      <c r="A132" s="1"/>
      <c r="B132" s="1"/>
    </row>
    <row r="133" spans="1:2">
      <c r="A133" s="1"/>
      <c r="B133" s="1"/>
    </row>
    <row r="134" spans="1:2">
      <c r="A134" s="1"/>
      <c r="B134" s="1"/>
    </row>
    <row r="135" spans="1:2">
      <c r="A135" s="1"/>
      <c r="B135" s="1"/>
    </row>
    <row r="136" spans="1:2">
      <c r="A136" s="1"/>
      <c r="B136" s="1"/>
    </row>
    <row r="137" spans="1:2">
      <c r="A137" s="1"/>
      <c r="B137" s="1"/>
    </row>
    <row r="138" spans="1:2">
      <c r="A138" s="1"/>
      <c r="B138" s="1"/>
    </row>
    <row r="139" spans="1:2">
      <c r="A139" s="1"/>
      <c r="B139" s="1"/>
    </row>
    <row r="140" spans="1:2">
      <c r="A140" s="1"/>
      <c r="B140" s="1"/>
    </row>
    <row r="141" spans="1:2">
      <c r="A141" s="1"/>
      <c r="B141" s="1"/>
    </row>
    <row r="142" spans="1:2">
      <c r="A142" s="1"/>
      <c r="B142" s="1"/>
    </row>
    <row r="143" spans="1:2">
      <c r="A143" s="1"/>
      <c r="B143" s="1"/>
    </row>
    <row r="144" spans="1:2">
      <c r="A144" s="1"/>
      <c r="B144" s="1"/>
    </row>
    <row r="145" spans="1:2">
      <c r="A145" s="1"/>
      <c r="B145" s="1"/>
    </row>
    <row r="146" spans="1:2">
      <c r="A146" s="1"/>
      <c r="B146" s="1"/>
    </row>
    <row r="147" spans="1:2">
      <c r="A147" s="1"/>
      <c r="B147" s="1"/>
    </row>
    <row r="148" spans="1:2">
      <c r="A148" s="1"/>
      <c r="B148" s="1"/>
    </row>
    <row r="149" spans="1:2">
      <c r="A149" s="1"/>
      <c r="B149" s="1"/>
    </row>
    <row r="150" spans="1:2">
      <c r="A150" s="1"/>
      <c r="B150" s="1"/>
    </row>
    <row r="151" spans="1:2">
      <c r="A151" s="1"/>
      <c r="B151" s="1"/>
    </row>
    <row r="152" spans="1:2">
      <c r="A152" s="1"/>
      <c r="B152" s="1"/>
    </row>
    <row r="153" spans="1:2">
      <c r="A153" s="1"/>
      <c r="B153" s="1"/>
    </row>
    <row r="154" spans="1:2">
      <c r="A154" s="1"/>
      <c r="B154" s="1"/>
    </row>
    <row r="155" spans="1:2">
      <c r="A155" s="1"/>
      <c r="B155" s="1"/>
    </row>
    <row r="156" spans="1:2">
      <c r="A156" s="1"/>
      <c r="B156" s="1"/>
    </row>
    <row r="157" spans="1:2">
      <c r="A157" s="1"/>
      <c r="B157" s="1"/>
    </row>
    <row r="158" spans="1:2">
      <c r="A158" s="1"/>
      <c r="B158" s="1"/>
    </row>
    <row r="159" spans="1:2">
      <c r="A159" s="1"/>
      <c r="B159" s="1"/>
    </row>
    <row r="160" spans="1:2">
      <c r="A160" s="1"/>
      <c r="B160" s="1"/>
    </row>
    <row r="161" spans="1:2">
      <c r="A161" s="1"/>
      <c r="B161" s="1"/>
    </row>
    <row r="162" spans="1:2">
      <c r="A162" s="1"/>
      <c r="B162" s="1"/>
    </row>
    <row r="163" spans="1:2">
      <c r="A163" s="1"/>
      <c r="B163" s="1"/>
    </row>
    <row r="164" spans="1:2">
      <c r="A164" s="1"/>
      <c r="B164" s="1"/>
    </row>
    <row r="165" spans="1:2">
      <c r="A165" s="1"/>
      <c r="B165" s="1"/>
    </row>
    <row r="166" spans="1:2">
      <c r="A166" s="1"/>
      <c r="B166" s="1"/>
    </row>
    <row r="167" spans="1:2">
      <c r="A167" s="1"/>
      <c r="B167" s="1"/>
    </row>
    <row r="168" spans="1:2">
      <c r="A168" s="1"/>
      <c r="B168" s="1"/>
    </row>
    <row r="169" spans="1:2">
      <c r="A169" s="1"/>
      <c r="B169" s="1"/>
    </row>
    <row r="170" spans="1:2">
      <c r="A170" s="1"/>
      <c r="B170" s="1"/>
    </row>
    <row r="171" spans="1:2">
      <c r="A171" s="1"/>
      <c r="B171" s="1"/>
    </row>
    <row r="172" spans="1:2">
      <c r="A172" s="1"/>
      <c r="B172" s="1"/>
    </row>
    <row r="173" spans="1:2">
      <c r="A173" s="1"/>
      <c r="B173" s="1"/>
    </row>
    <row r="174" spans="1:2">
      <c r="A174" s="1"/>
      <c r="B174" s="1"/>
    </row>
    <row r="175" spans="1:2">
      <c r="A175" s="1"/>
      <c r="B175" s="1"/>
    </row>
    <row r="176" spans="1:2">
      <c r="A176" s="1"/>
      <c r="B176" s="1"/>
    </row>
    <row r="177" spans="1:2">
      <c r="A177" s="1"/>
      <c r="B177" s="1"/>
    </row>
  </sheetData>
  <mergeCells count="6">
    <mergeCell ref="M67:M68"/>
    <mergeCell ref="B18:C18"/>
    <mergeCell ref="B23:C23"/>
    <mergeCell ref="H67:H68"/>
    <mergeCell ref="I67:I68"/>
    <mergeCell ref="J67:J68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37"/>
  <sheetViews>
    <sheetView topLeftCell="D7" workbookViewId="0">
      <selection activeCell="T20" sqref="T20"/>
    </sheetView>
  </sheetViews>
  <sheetFormatPr defaultRowHeight="15"/>
  <cols>
    <col min="1" max="1" width="11.28515625" style="92" bestFit="1" customWidth="1"/>
    <col min="2" max="2" width="13.42578125" style="92" bestFit="1" customWidth="1"/>
    <col min="3" max="4" width="12.5703125" style="92" customWidth="1"/>
    <col min="5" max="6" width="9.28515625" style="92" bestFit="1" customWidth="1"/>
    <col min="7" max="7" width="13.28515625" style="92" customWidth="1"/>
    <col min="8" max="8" width="13.42578125" style="92" bestFit="1" customWidth="1"/>
    <col min="9" max="9" width="11.7109375" style="92" bestFit="1" customWidth="1"/>
    <col min="10" max="12" width="11.7109375" style="92" customWidth="1"/>
    <col min="13" max="13" width="10.140625" style="92" bestFit="1" customWidth="1"/>
    <col min="14" max="14" width="11.7109375" style="92" customWidth="1"/>
    <col min="15" max="16" width="9.28515625" style="92" bestFit="1" customWidth="1"/>
    <col min="17" max="17" width="10.7109375" style="92" bestFit="1" customWidth="1"/>
    <col min="18" max="18" width="11.85546875" style="92" bestFit="1" customWidth="1"/>
    <col min="19" max="19" width="13.42578125" style="92" bestFit="1" customWidth="1"/>
    <col min="20" max="20" width="10.7109375" style="92" bestFit="1" customWidth="1"/>
    <col min="21" max="21" width="13.5703125" style="92" customWidth="1"/>
    <col min="22" max="22" width="13.42578125" style="92" customWidth="1"/>
    <col min="23" max="23" width="21" style="92" bestFit="1" customWidth="1"/>
    <col min="24" max="24" width="14.140625" style="92" customWidth="1"/>
    <col min="25" max="25" width="9.7109375" style="92" bestFit="1" customWidth="1"/>
    <col min="26" max="26" width="19.85546875" style="92" bestFit="1" customWidth="1"/>
    <col min="27" max="16384" width="9.140625" style="92"/>
  </cols>
  <sheetData>
    <row r="1" spans="1:27" s="88" customFormat="1" ht="105">
      <c r="A1" s="87" t="s">
        <v>77</v>
      </c>
      <c r="B1" s="87" t="s">
        <v>6</v>
      </c>
      <c r="C1" s="87" t="s">
        <v>78</v>
      </c>
      <c r="D1" s="87" t="s">
        <v>79</v>
      </c>
      <c r="E1" s="87" t="str">
        <f t="shared" ref="E1:K16" si="0">U1</f>
        <v>Construction Area</v>
      </c>
      <c r="F1" s="87" t="str">
        <f t="shared" si="0"/>
        <v>Cost of Construction</v>
      </c>
      <c r="G1" s="87" t="str">
        <f t="shared" si="0"/>
        <v>Construction value</v>
      </c>
      <c r="H1" s="87" t="str">
        <f t="shared" si="0"/>
        <v>Land Value (Including Land development)</v>
      </c>
      <c r="I1" s="87" t="str">
        <f t="shared" si="0"/>
        <v>Land Rate (Including Development) per Sq. M.</v>
      </c>
      <c r="J1" s="87" t="str">
        <f>Z1</f>
        <v>Location</v>
      </c>
      <c r="K1" s="87" t="str">
        <f>AA1</f>
        <v>Distance</v>
      </c>
      <c r="L1" s="87"/>
      <c r="M1" s="88" t="s">
        <v>80</v>
      </c>
      <c r="N1" s="88" t="s">
        <v>81</v>
      </c>
      <c r="O1" s="88" t="s">
        <v>82</v>
      </c>
      <c r="P1" s="88" t="s">
        <v>83</v>
      </c>
      <c r="Q1" s="88" t="s">
        <v>84</v>
      </c>
      <c r="R1" s="88" t="s">
        <v>85</v>
      </c>
      <c r="S1" s="88" t="s">
        <v>6</v>
      </c>
      <c r="T1" s="88" t="s">
        <v>5</v>
      </c>
      <c r="U1" s="89" t="s">
        <v>86</v>
      </c>
      <c r="V1" s="89" t="s">
        <v>87</v>
      </c>
      <c r="W1" s="88" t="s">
        <v>88</v>
      </c>
      <c r="X1" s="88" t="s">
        <v>89</v>
      </c>
      <c r="Y1" s="88" t="s">
        <v>90</v>
      </c>
      <c r="Z1" s="88" t="s">
        <v>91</v>
      </c>
      <c r="AA1" s="88" t="s">
        <v>92</v>
      </c>
    </row>
    <row r="2" spans="1:27" ht="16.5">
      <c r="A2" s="90">
        <f t="shared" ref="A2:C17" si="1">R2</f>
        <v>11499.995892201476</v>
      </c>
      <c r="B2" s="90">
        <f t="shared" si="1"/>
        <v>0</v>
      </c>
      <c r="C2" s="90">
        <f t="shared" si="1"/>
        <v>0</v>
      </c>
      <c r="D2" s="90">
        <f t="shared" ref="D2:D18" si="2">ROUND((C2/10.764),0)</f>
        <v>0</v>
      </c>
      <c r="E2" s="87">
        <f t="shared" si="0"/>
        <v>0</v>
      </c>
      <c r="F2" s="87">
        <f t="shared" si="0"/>
        <v>0</v>
      </c>
      <c r="G2" s="87">
        <f t="shared" si="0"/>
        <v>0</v>
      </c>
      <c r="H2" s="87">
        <f t="shared" si="0"/>
        <v>0</v>
      </c>
      <c r="I2" s="87">
        <f t="shared" si="0"/>
        <v>0</v>
      </c>
      <c r="J2" s="87">
        <f t="shared" si="0"/>
        <v>0</v>
      </c>
      <c r="K2" s="87">
        <f t="shared" si="0"/>
        <v>0</v>
      </c>
      <c r="L2" s="87"/>
      <c r="M2" s="71">
        <v>1.1499999999999999</v>
      </c>
      <c r="N2" s="91">
        <f t="shared" ref="N2:N18" si="3">M2*2.47107605477881</f>
        <v>2.8417374629956313</v>
      </c>
      <c r="O2" s="92">
        <f t="shared" ref="O2:O18" si="4">N2*40.0001976870614</f>
        <v>113.67006029455359</v>
      </c>
      <c r="P2" s="92">
        <f t="shared" ref="P2:P18" si="5">O2*121.0167464</f>
        <v>13755.980859938702</v>
      </c>
      <c r="Q2" s="92">
        <f t="shared" ref="Q2:Q18" si="6">P2*8.99870078651798</f>
        <v>123785.95578365668</v>
      </c>
      <c r="R2" s="92">
        <f t="shared" ref="R2:R18" si="7">Q2/10.764</f>
        <v>11499.995892201476</v>
      </c>
      <c r="S2" s="92">
        <v>0</v>
      </c>
      <c r="T2" s="92">
        <f t="shared" ref="T2:T18" si="8">ROUND((S2/R2),0)</f>
        <v>0</v>
      </c>
      <c r="U2" s="90">
        <v>0</v>
      </c>
      <c r="V2" s="92">
        <v>0</v>
      </c>
      <c r="W2" s="92">
        <f t="shared" ref="W2:W18" si="9">U2*V2</f>
        <v>0</v>
      </c>
      <c r="X2" s="92">
        <f t="shared" ref="X2:X18" si="10">S2-W2</f>
        <v>0</v>
      </c>
      <c r="Y2" s="92">
        <f t="shared" ref="Y2:Y18" si="11">X2/R2</f>
        <v>0</v>
      </c>
    </row>
    <row r="3" spans="1:27" ht="16.5">
      <c r="A3" s="90">
        <f t="shared" si="1"/>
        <v>12999.995356401669</v>
      </c>
      <c r="B3" s="90">
        <f t="shared" si="1"/>
        <v>0</v>
      </c>
      <c r="C3" s="90">
        <f t="shared" si="1"/>
        <v>0</v>
      </c>
      <c r="D3" s="90">
        <f t="shared" si="2"/>
        <v>0</v>
      </c>
      <c r="E3" s="87">
        <f t="shared" si="0"/>
        <v>0</v>
      </c>
      <c r="F3" s="87">
        <f t="shared" si="0"/>
        <v>0</v>
      </c>
      <c r="G3" s="87">
        <f t="shared" si="0"/>
        <v>0</v>
      </c>
      <c r="H3" s="87">
        <f t="shared" si="0"/>
        <v>0</v>
      </c>
      <c r="I3" s="87">
        <f t="shared" si="0"/>
        <v>0</v>
      </c>
      <c r="J3" s="87">
        <f t="shared" si="0"/>
        <v>0</v>
      </c>
      <c r="K3" s="87">
        <f t="shared" si="0"/>
        <v>0</v>
      </c>
      <c r="L3" s="87"/>
      <c r="M3" s="71">
        <v>1.3</v>
      </c>
      <c r="N3" s="91">
        <f t="shared" si="3"/>
        <v>3.2123988712124532</v>
      </c>
      <c r="O3" s="92">
        <f t="shared" si="4"/>
        <v>128.49658989819102</v>
      </c>
      <c r="P3" s="92">
        <f t="shared" si="5"/>
        <v>15550.239232974185</v>
      </c>
      <c r="Q3" s="92">
        <f t="shared" si="6"/>
        <v>139931.95001630756</v>
      </c>
      <c r="R3" s="92">
        <f t="shared" si="7"/>
        <v>12999.995356401669</v>
      </c>
      <c r="S3" s="92">
        <v>0</v>
      </c>
      <c r="T3" s="92">
        <f t="shared" si="8"/>
        <v>0</v>
      </c>
      <c r="U3" s="90">
        <v>0</v>
      </c>
      <c r="V3" s="92">
        <v>0</v>
      </c>
      <c r="W3" s="92">
        <f t="shared" si="9"/>
        <v>0</v>
      </c>
      <c r="X3" s="92">
        <f t="shared" si="10"/>
        <v>0</v>
      </c>
      <c r="Y3" s="92">
        <f t="shared" si="11"/>
        <v>0</v>
      </c>
    </row>
    <row r="4" spans="1:27" ht="16.5">
      <c r="A4" s="90">
        <f t="shared" si="1"/>
        <v>3329.9988105244279</v>
      </c>
      <c r="B4" s="90">
        <f t="shared" si="1"/>
        <v>0</v>
      </c>
      <c r="C4" s="90">
        <f t="shared" si="1"/>
        <v>0</v>
      </c>
      <c r="D4" s="90">
        <f t="shared" si="2"/>
        <v>0</v>
      </c>
      <c r="E4" s="87">
        <f t="shared" si="0"/>
        <v>0</v>
      </c>
      <c r="F4" s="87">
        <f t="shared" si="0"/>
        <v>0</v>
      </c>
      <c r="G4" s="87">
        <f t="shared" si="0"/>
        <v>0</v>
      </c>
      <c r="H4" s="87">
        <f t="shared" si="0"/>
        <v>0</v>
      </c>
      <c r="I4" s="87">
        <f t="shared" si="0"/>
        <v>0</v>
      </c>
      <c r="J4" s="87">
        <f t="shared" si="0"/>
        <v>0</v>
      </c>
      <c r="K4" s="87">
        <f t="shared" si="0"/>
        <v>0</v>
      </c>
      <c r="L4" s="87"/>
      <c r="M4" s="71">
        <v>0.33300000000000002</v>
      </c>
      <c r="N4" s="91">
        <f t="shared" si="3"/>
        <v>0.82286832624134376</v>
      </c>
      <c r="O4" s="92">
        <f t="shared" si="4"/>
        <v>32.914895720075087</v>
      </c>
      <c r="P4" s="92">
        <f t="shared" si="5"/>
        <v>3983.2535881387721</v>
      </c>
      <c r="Q4" s="92">
        <f t="shared" si="6"/>
        <v>35844.10719648494</v>
      </c>
      <c r="R4" s="92">
        <f t="shared" si="7"/>
        <v>3329.9988105244279</v>
      </c>
      <c r="S4" s="92">
        <v>0</v>
      </c>
      <c r="T4" s="92">
        <f t="shared" si="8"/>
        <v>0</v>
      </c>
      <c r="U4" s="90">
        <v>0</v>
      </c>
      <c r="V4" s="92">
        <v>0</v>
      </c>
      <c r="W4" s="92">
        <f t="shared" si="9"/>
        <v>0</v>
      </c>
      <c r="X4" s="92">
        <f t="shared" si="10"/>
        <v>0</v>
      </c>
      <c r="Y4" s="92">
        <f t="shared" si="11"/>
        <v>0</v>
      </c>
    </row>
    <row r="5" spans="1:27" ht="16.5">
      <c r="A5" s="90">
        <f t="shared" si="1"/>
        <v>3369.998796236433</v>
      </c>
      <c r="B5" s="90">
        <f t="shared" si="1"/>
        <v>0</v>
      </c>
      <c r="C5" s="90">
        <f t="shared" si="1"/>
        <v>0</v>
      </c>
      <c r="D5" s="90">
        <f t="shared" si="2"/>
        <v>0</v>
      </c>
      <c r="E5" s="87">
        <f t="shared" si="0"/>
        <v>0</v>
      </c>
      <c r="F5" s="87">
        <f t="shared" si="0"/>
        <v>0</v>
      </c>
      <c r="G5" s="87">
        <f t="shared" si="0"/>
        <v>0</v>
      </c>
      <c r="H5" s="87">
        <f t="shared" si="0"/>
        <v>0</v>
      </c>
      <c r="I5" s="87">
        <f t="shared" si="0"/>
        <v>0</v>
      </c>
      <c r="J5" s="87">
        <f t="shared" si="0"/>
        <v>0</v>
      </c>
      <c r="K5" s="87">
        <f t="shared" si="0"/>
        <v>0</v>
      </c>
      <c r="L5" s="87"/>
      <c r="M5" s="71">
        <v>0.33700000000000002</v>
      </c>
      <c r="N5" s="91">
        <f t="shared" si="3"/>
        <v>0.832752630460459</v>
      </c>
      <c r="O5" s="92">
        <f t="shared" si="4"/>
        <v>33.31026984283875</v>
      </c>
      <c r="P5" s="92">
        <f t="shared" si="5"/>
        <v>4031.100478086385</v>
      </c>
      <c r="Q5" s="92">
        <f t="shared" si="6"/>
        <v>36274.667042688961</v>
      </c>
      <c r="R5" s="92">
        <f t="shared" si="7"/>
        <v>3369.998796236433</v>
      </c>
      <c r="S5" s="92">
        <v>0</v>
      </c>
      <c r="T5" s="92">
        <f t="shared" si="8"/>
        <v>0</v>
      </c>
      <c r="U5" s="90">
        <v>0</v>
      </c>
      <c r="V5" s="92">
        <v>0</v>
      </c>
      <c r="W5" s="92">
        <f t="shared" si="9"/>
        <v>0</v>
      </c>
      <c r="X5" s="92">
        <f t="shared" si="10"/>
        <v>0</v>
      </c>
      <c r="Y5" s="92">
        <f t="shared" si="11"/>
        <v>0</v>
      </c>
    </row>
    <row r="6" spans="1:27" ht="16.5">
      <c r="A6" s="90">
        <f t="shared" si="1"/>
        <v>11499.995892201476</v>
      </c>
      <c r="B6" s="90">
        <f t="shared" si="1"/>
        <v>0</v>
      </c>
      <c r="C6" s="90">
        <f t="shared" si="1"/>
        <v>0</v>
      </c>
      <c r="D6" s="90">
        <f t="shared" si="2"/>
        <v>0</v>
      </c>
      <c r="E6" s="87">
        <f t="shared" si="0"/>
        <v>0</v>
      </c>
      <c r="F6" s="87">
        <f t="shared" si="0"/>
        <v>0</v>
      </c>
      <c r="G6" s="87">
        <f t="shared" si="0"/>
        <v>0</v>
      </c>
      <c r="H6" s="87">
        <f t="shared" si="0"/>
        <v>0</v>
      </c>
      <c r="I6" s="87">
        <f t="shared" si="0"/>
        <v>0</v>
      </c>
      <c r="J6" s="87">
        <f t="shared" si="0"/>
        <v>0</v>
      </c>
      <c r="K6" s="87">
        <f t="shared" si="0"/>
        <v>0</v>
      </c>
      <c r="L6" s="87"/>
      <c r="M6" s="71">
        <v>1.1499999999999999</v>
      </c>
      <c r="N6" s="91">
        <f t="shared" si="3"/>
        <v>2.8417374629956313</v>
      </c>
      <c r="O6" s="92">
        <f t="shared" si="4"/>
        <v>113.67006029455359</v>
      </c>
      <c r="P6" s="92">
        <f t="shared" si="5"/>
        <v>13755.980859938702</v>
      </c>
      <c r="Q6" s="92">
        <f t="shared" si="6"/>
        <v>123785.95578365668</v>
      </c>
      <c r="R6" s="92">
        <f t="shared" si="7"/>
        <v>11499.995892201476</v>
      </c>
      <c r="S6" s="92">
        <v>0</v>
      </c>
      <c r="T6" s="92">
        <f t="shared" si="8"/>
        <v>0</v>
      </c>
      <c r="U6" s="90">
        <v>0</v>
      </c>
      <c r="V6" s="92">
        <v>0</v>
      </c>
      <c r="W6" s="92">
        <f t="shared" si="9"/>
        <v>0</v>
      </c>
      <c r="X6" s="92">
        <f t="shared" si="10"/>
        <v>0</v>
      </c>
      <c r="Y6" s="92">
        <f t="shared" si="11"/>
        <v>0</v>
      </c>
    </row>
    <row r="7" spans="1:27" ht="16.5">
      <c r="A7" s="90">
        <f t="shared" si="1"/>
        <v>12999.995356401669</v>
      </c>
      <c r="B7" s="90">
        <f t="shared" si="1"/>
        <v>0</v>
      </c>
      <c r="C7" s="90">
        <f t="shared" si="1"/>
        <v>0</v>
      </c>
      <c r="D7" s="90">
        <f t="shared" si="2"/>
        <v>0</v>
      </c>
      <c r="E7" s="87">
        <f t="shared" si="0"/>
        <v>0</v>
      </c>
      <c r="F7" s="87">
        <f t="shared" si="0"/>
        <v>0</v>
      </c>
      <c r="G7" s="87">
        <f t="shared" si="0"/>
        <v>0</v>
      </c>
      <c r="H7" s="87">
        <f t="shared" si="0"/>
        <v>0</v>
      </c>
      <c r="I7" s="87">
        <f t="shared" si="0"/>
        <v>0</v>
      </c>
      <c r="J7" s="87">
        <f t="shared" si="0"/>
        <v>0</v>
      </c>
      <c r="K7" s="87">
        <f t="shared" si="0"/>
        <v>0</v>
      </c>
      <c r="L7" s="87"/>
      <c r="M7" s="71">
        <v>1.3</v>
      </c>
      <c r="N7" s="91">
        <f t="shared" si="3"/>
        <v>3.2123988712124532</v>
      </c>
      <c r="O7" s="92">
        <f t="shared" si="4"/>
        <v>128.49658989819102</v>
      </c>
      <c r="P7" s="92">
        <f t="shared" si="5"/>
        <v>15550.239232974185</v>
      </c>
      <c r="Q7" s="92">
        <f t="shared" si="6"/>
        <v>139931.95001630756</v>
      </c>
      <c r="R7" s="92">
        <f t="shared" si="7"/>
        <v>12999.995356401669</v>
      </c>
      <c r="S7" s="92">
        <v>0</v>
      </c>
      <c r="T7" s="92">
        <f t="shared" si="8"/>
        <v>0</v>
      </c>
      <c r="U7" s="90">
        <v>0</v>
      </c>
      <c r="V7" s="92">
        <v>0</v>
      </c>
      <c r="W7" s="92">
        <f t="shared" si="9"/>
        <v>0</v>
      </c>
      <c r="X7" s="92">
        <f t="shared" si="10"/>
        <v>0</v>
      </c>
      <c r="Y7" s="92">
        <f t="shared" si="11"/>
        <v>0</v>
      </c>
    </row>
    <row r="8" spans="1:27" ht="16.5">
      <c r="A8" s="90">
        <f t="shared" si="1"/>
        <v>3329.9988105244279</v>
      </c>
      <c r="B8" s="90">
        <f t="shared" si="1"/>
        <v>0</v>
      </c>
      <c r="C8" s="90">
        <f t="shared" si="1"/>
        <v>0</v>
      </c>
      <c r="D8" s="90">
        <f t="shared" si="2"/>
        <v>0</v>
      </c>
      <c r="E8" s="87">
        <f t="shared" si="0"/>
        <v>0</v>
      </c>
      <c r="F8" s="87">
        <f t="shared" si="0"/>
        <v>0</v>
      </c>
      <c r="G8" s="87">
        <f t="shared" si="0"/>
        <v>0</v>
      </c>
      <c r="H8" s="87">
        <f t="shared" si="0"/>
        <v>0</v>
      </c>
      <c r="I8" s="87">
        <f t="shared" si="0"/>
        <v>0</v>
      </c>
      <c r="J8" s="87">
        <f t="shared" si="0"/>
        <v>0</v>
      </c>
      <c r="K8" s="87">
        <f t="shared" si="0"/>
        <v>0</v>
      </c>
      <c r="L8" s="87"/>
      <c r="M8" s="71">
        <v>0.33300000000000002</v>
      </c>
      <c r="N8" s="92">
        <f t="shared" si="3"/>
        <v>0.82286832624134376</v>
      </c>
      <c r="O8" s="92">
        <f t="shared" si="4"/>
        <v>32.914895720075087</v>
      </c>
      <c r="P8" s="92">
        <f t="shared" si="5"/>
        <v>3983.2535881387721</v>
      </c>
      <c r="Q8" s="92">
        <f t="shared" si="6"/>
        <v>35844.10719648494</v>
      </c>
      <c r="R8" s="92">
        <f t="shared" si="7"/>
        <v>3329.9988105244279</v>
      </c>
      <c r="S8" s="92">
        <v>0</v>
      </c>
      <c r="T8" s="92">
        <f t="shared" si="8"/>
        <v>0</v>
      </c>
      <c r="U8" s="90">
        <v>0</v>
      </c>
      <c r="V8" s="92">
        <v>0</v>
      </c>
      <c r="W8" s="92">
        <f t="shared" si="9"/>
        <v>0</v>
      </c>
      <c r="X8" s="92">
        <f t="shared" si="10"/>
        <v>0</v>
      </c>
      <c r="Y8" s="92">
        <f t="shared" si="11"/>
        <v>0</v>
      </c>
    </row>
    <row r="9" spans="1:27" ht="16.5">
      <c r="A9" s="90">
        <f t="shared" si="1"/>
        <v>3369.998796236433</v>
      </c>
      <c r="B9" s="90">
        <f t="shared" si="1"/>
        <v>0</v>
      </c>
      <c r="C9" s="90">
        <f t="shared" si="1"/>
        <v>0</v>
      </c>
      <c r="D9" s="90">
        <f t="shared" si="2"/>
        <v>0</v>
      </c>
      <c r="E9" s="87">
        <f t="shared" si="0"/>
        <v>0</v>
      </c>
      <c r="F9" s="87">
        <f t="shared" si="0"/>
        <v>0</v>
      </c>
      <c r="G9" s="87">
        <f t="shared" si="0"/>
        <v>0</v>
      </c>
      <c r="H9" s="87">
        <f t="shared" si="0"/>
        <v>0</v>
      </c>
      <c r="I9" s="87">
        <f t="shared" si="0"/>
        <v>0</v>
      </c>
      <c r="J9" s="87">
        <f t="shared" si="0"/>
        <v>0</v>
      </c>
      <c r="K9" s="87">
        <f t="shared" si="0"/>
        <v>0</v>
      </c>
      <c r="L9" s="87"/>
      <c r="M9" s="71">
        <v>0.33700000000000002</v>
      </c>
      <c r="N9" s="92">
        <f t="shared" si="3"/>
        <v>0.832752630460459</v>
      </c>
      <c r="O9" s="92">
        <f t="shared" si="4"/>
        <v>33.31026984283875</v>
      </c>
      <c r="P9" s="92">
        <f t="shared" si="5"/>
        <v>4031.100478086385</v>
      </c>
      <c r="Q9" s="92">
        <f t="shared" si="6"/>
        <v>36274.667042688961</v>
      </c>
      <c r="R9" s="92">
        <f t="shared" si="7"/>
        <v>3369.998796236433</v>
      </c>
      <c r="S9" s="92">
        <v>0</v>
      </c>
      <c r="T9" s="92">
        <f t="shared" si="8"/>
        <v>0</v>
      </c>
      <c r="U9" s="90">
        <v>0</v>
      </c>
      <c r="V9" s="92">
        <v>0</v>
      </c>
      <c r="W9" s="92">
        <f t="shared" si="9"/>
        <v>0</v>
      </c>
      <c r="X9" s="92">
        <f t="shared" si="10"/>
        <v>0</v>
      </c>
      <c r="Y9" s="92">
        <f t="shared" si="11"/>
        <v>0</v>
      </c>
    </row>
    <row r="10" spans="1:27" ht="16.5">
      <c r="A10" s="90">
        <f t="shared" si="1"/>
        <v>11499.995892201476</v>
      </c>
      <c r="B10" s="90">
        <f t="shared" si="1"/>
        <v>0</v>
      </c>
      <c r="C10" s="90">
        <f t="shared" si="1"/>
        <v>0</v>
      </c>
      <c r="D10" s="90">
        <f t="shared" si="2"/>
        <v>0</v>
      </c>
      <c r="E10" s="87">
        <f t="shared" si="0"/>
        <v>0</v>
      </c>
      <c r="F10" s="87">
        <f t="shared" si="0"/>
        <v>0</v>
      </c>
      <c r="G10" s="87">
        <f t="shared" si="0"/>
        <v>0</v>
      </c>
      <c r="H10" s="87">
        <f t="shared" si="0"/>
        <v>0</v>
      </c>
      <c r="I10" s="87">
        <f t="shared" si="0"/>
        <v>0</v>
      </c>
      <c r="J10" s="87">
        <f t="shared" si="0"/>
        <v>0</v>
      </c>
      <c r="K10" s="87">
        <f t="shared" si="0"/>
        <v>0</v>
      </c>
      <c r="L10" s="87"/>
      <c r="M10" s="71">
        <v>1.1499999999999999</v>
      </c>
      <c r="N10" s="92">
        <f t="shared" si="3"/>
        <v>2.8417374629956313</v>
      </c>
      <c r="O10" s="92">
        <f t="shared" si="4"/>
        <v>113.67006029455359</v>
      </c>
      <c r="P10" s="92">
        <f t="shared" si="5"/>
        <v>13755.980859938702</v>
      </c>
      <c r="Q10" s="92">
        <f t="shared" si="6"/>
        <v>123785.95578365668</v>
      </c>
      <c r="R10" s="92">
        <f t="shared" si="7"/>
        <v>11499.995892201476</v>
      </c>
      <c r="S10" s="92">
        <v>0</v>
      </c>
      <c r="T10" s="92">
        <f t="shared" si="8"/>
        <v>0</v>
      </c>
      <c r="U10" s="90">
        <v>0</v>
      </c>
      <c r="V10" s="92">
        <v>0</v>
      </c>
      <c r="W10" s="92">
        <f t="shared" si="9"/>
        <v>0</v>
      </c>
      <c r="X10" s="92">
        <f t="shared" si="10"/>
        <v>0</v>
      </c>
      <c r="Y10" s="92">
        <f t="shared" si="11"/>
        <v>0</v>
      </c>
    </row>
    <row r="11" spans="1:27" ht="16.5">
      <c r="A11" s="90">
        <f t="shared" si="1"/>
        <v>11999.995713601542</v>
      </c>
      <c r="B11" s="90">
        <f t="shared" si="1"/>
        <v>0</v>
      </c>
      <c r="C11" s="90">
        <f t="shared" si="1"/>
        <v>0</v>
      </c>
      <c r="D11" s="90">
        <f t="shared" si="2"/>
        <v>0</v>
      </c>
      <c r="E11" s="87">
        <f t="shared" si="0"/>
        <v>0</v>
      </c>
      <c r="F11" s="87">
        <f t="shared" si="0"/>
        <v>0</v>
      </c>
      <c r="G11" s="87">
        <f t="shared" si="0"/>
        <v>0</v>
      </c>
      <c r="H11" s="87">
        <f t="shared" si="0"/>
        <v>0</v>
      </c>
      <c r="I11" s="87">
        <f t="shared" si="0"/>
        <v>0</v>
      </c>
      <c r="J11" s="87">
        <f t="shared" si="0"/>
        <v>0</v>
      </c>
      <c r="K11" s="87">
        <f t="shared" si="0"/>
        <v>0</v>
      </c>
      <c r="L11" s="87"/>
      <c r="M11" s="71">
        <v>1.2</v>
      </c>
      <c r="N11" s="92">
        <f t="shared" si="3"/>
        <v>2.9652912657345718</v>
      </c>
      <c r="O11" s="92">
        <f t="shared" si="4"/>
        <v>118.6122368290994</v>
      </c>
      <c r="P11" s="92">
        <f t="shared" si="5"/>
        <v>14354.066984283863</v>
      </c>
      <c r="Q11" s="92">
        <f t="shared" si="6"/>
        <v>129167.95386120699</v>
      </c>
      <c r="R11" s="92">
        <f t="shared" si="7"/>
        <v>11999.995713601542</v>
      </c>
      <c r="S11" s="92">
        <v>0</v>
      </c>
      <c r="T11" s="92">
        <f t="shared" si="8"/>
        <v>0</v>
      </c>
      <c r="U11" s="90">
        <v>0</v>
      </c>
      <c r="V11" s="92">
        <v>0</v>
      </c>
      <c r="W11" s="92">
        <f t="shared" si="9"/>
        <v>0</v>
      </c>
      <c r="X11" s="92">
        <f t="shared" si="10"/>
        <v>0</v>
      </c>
      <c r="Y11" s="92">
        <f t="shared" si="11"/>
        <v>0</v>
      </c>
    </row>
    <row r="12" spans="1:27" ht="16.5">
      <c r="A12" s="90">
        <f t="shared" si="1"/>
        <v>3339.9988069524288</v>
      </c>
      <c r="B12" s="90">
        <f t="shared" si="1"/>
        <v>0</v>
      </c>
      <c r="C12" s="90">
        <f t="shared" si="1"/>
        <v>0</v>
      </c>
      <c r="D12" s="90">
        <f t="shared" si="2"/>
        <v>0</v>
      </c>
      <c r="E12" s="87">
        <f t="shared" si="0"/>
        <v>0</v>
      </c>
      <c r="F12" s="87">
        <f t="shared" si="0"/>
        <v>0</v>
      </c>
      <c r="G12" s="87">
        <f t="shared" si="0"/>
        <v>0</v>
      </c>
      <c r="H12" s="87">
        <f t="shared" si="0"/>
        <v>0</v>
      </c>
      <c r="I12" s="87">
        <f t="shared" si="0"/>
        <v>0</v>
      </c>
      <c r="J12" s="87">
        <f t="shared" si="0"/>
        <v>0</v>
      </c>
      <c r="K12" s="87">
        <f t="shared" si="0"/>
        <v>0</v>
      </c>
      <c r="L12" s="87"/>
      <c r="M12" s="71">
        <v>0.33400000000000002</v>
      </c>
      <c r="N12" s="92">
        <f t="shared" si="3"/>
        <v>0.82533940229612257</v>
      </c>
      <c r="O12" s="92">
        <f t="shared" si="4"/>
        <v>33.013739250766001</v>
      </c>
      <c r="P12" s="92">
        <f t="shared" si="5"/>
        <v>3995.2153106256751</v>
      </c>
      <c r="Q12" s="92">
        <f t="shared" si="6"/>
        <v>35951.747158035942</v>
      </c>
      <c r="R12" s="92">
        <f t="shared" si="7"/>
        <v>3339.9988069524288</v>
      </c>
      <c r="S12" s="92">
        <v>0</v>
      </c>
      <c r="T12" s="92">
        <f t="shared" si="8"/>
        <v>0</v>
      </c>
      <c r="U12" s="90">
        <v>0</v>
      </c>
      <c r="V12" s="92">
        <v>0</v>
      </c>
      <c r="W12" s="92">
        <f t="shared" si="9"/>
        <v>0</v>
      </c>
      <c r="X12" s="92">
        <f t="shared" si="10"/>
        <v>0</v>
      </c>
      <c r="Y12" s="92">
        <f t="shared" si="11"/>
        <v>0</v>
      </c>
    </row>
    <row r="13" spans="1:27" ht="16.5">
      <c r="A13" s="90">
        <f t="shared" si="1"/>
        <v>3326.9988115960273</v>
      </c>
      <c r="B13" s="90">
        <f t="shared" si="1"/>
        <v>0</v>
      </c>
      <c r="C13" s="90">
        <f t="shared" si="1"/>
        <v>0</v>
      </c>
      <c r="D13" s="90">
        <f t="shared" si="2"/>
        <v>0</v>
      </c>
      <c r="E13" s="87">
        <f t="shared" si="0"/>
        <v>0</v>
      </c>
      <c r="F13" s="87">
        <f t="shared" si="0"/>
        <v>0</v>
      </c>
      <c r="G13" s="87">
        <f t="shared" si="0"/>
        <v>0</v>
      </c>
      <c r="H13" s="87">
        <f t="shared" si="0"/>
        <v>0</v>
      </c>
      <c r="I13" s="87">
        <f t="shared" si="0"/>
        <v>0</v>
      </c>
      <c r="J13" s="87">
        <f t="shared" si="0"/>
        <v>0</v>
      </c>
      <c r="K13" s="87">
        <f t="shared" si="0"/>
        <v>0</v>
      </c>
      <c r="L13" s="87"/>
      <c r="M13" s="71">
        <v>0.3327</v>
      </c>
      <c r="N13" s="92">
        <f t="shared" si="3"/>
        <v>0.82212700342491007</v>
      </c>
      <c r="O13" s="92">
        <f t="shared" si="4"/>
        <v>32.88524266086781</v>
      </c>
      <c r="P13" s="92">
        <f t="shared" si="5"/>
        <v>3979.6650713927011</v>
      </c>
      <c r="Q13" s="92">
        <f t="shared" si="6"/>
        <v>35811.815208019638</v>
      </c>
      <c r="R13" s="92">
        <f t="shared" si="7"/>
        <v>3326.9988115960273</v>
      </c>
      <c r="S13" s="92">
        <v>0</v>
      </c>
      <c r="T13" s="92">
        <f t="shared" si="8"/>
        <v>0</v>
      </c>
      <c r="U13" s="90">
        <v>0</v>
      </c>
      <c r="V13" s="92">
        <v>0</v>
      </c>
      <c r="W13" s="92">
        <f t="shared" si="9"/>
        <v>0</v>
      </c>
      <c r="X13" s="92">
        <f t="shared" si="10"/>
        <v>0</v>
      </c>
      <c r="Y13" s="92">
        <f t="shared" si="11"/>
        <v>0</v>
      </c>
    </row>
    <row r="14" spans="1:27">
      <c r="A14" s="90">
        <f t="shared" si="1"/>
        <v>9999.9964280012846</v>
      </c>
      <c r="B14" s="90">
        <f t="shared" si="1"/>
        <v>0</v>
      </c>
      <c r="C14" s="90">
        <f t="shared" si="1"/>
        <v>0</v>
      </c>
      <c r="D14" s="90">
        <f t="shared" si="2"/>
        <v>0</v>
      </c>
      <c r="E14" s="87">
        <f t="shared" si="0"/>
        <v>0</v>
      </c>
      <c r="F14" s="87">
        <f t="shared" si="0"/>
        <v>0</v>
      </c>
      <c r="G14" s="87">
        <f t="shared" si="0"/>
        <v>0</v>
      </c>
      <c r="H14" s="87">
        <f t="shared" si="0"/>
        <v>0</v>
      </c>
      <c r="I14" s="87">
        <f t="shared" si="0"/>
        <v>0</v>
      </c>
      <c r="J14" s="87">
        <f t="shared" si="0"/>
        <v>0</v>
      </c>
      <c r="K14" s="87">
        <f t="shared" si="0"/>
        <v>0</v>
      </c>
      <c r="L14" s="87"/>
      <c r="M14" s="92">
        <v>1</v>
      </c>
      <c r="N14" s="91">
        <f t="shared" si="3"/>
        <v>2.47107605477881</v>
      </c>
      <c r="O14" s="92">
        <f t="shared" si="4"/>
        <v>98.843530690916168</v>
      </c>
      <c r="P14" s="92">
        <f t="shared" si="5"/>
        <v>11961.72248690322</v>
      </c>
      <c r="Q14" s="92">
        <f t="shared" si="6"/>
        <v>107639.96155100582</v>
      </c>
      <c r="R14" s="92">
        <f t="shared" si="7"/>
        <v>9999.9964280012846</v>
      </c>
      <c r="S14" s="92">
        <v>0</v>
      </c>
      <c r="T14" s="92">
        <f t="shared" si="8"/>
        <v>0</v>
      </c>
      <c r="U14" s="90">
        <v>0</v>
      </c>
      <c r="V14" s="92">
        <v>0</v>
      </c>
      <c r="W14" s="92">
        <f t="shared" si="9"/>
        <v>0</v>
      </c>
      <c r="X14" s="92">
        <f t="shared" si="10"/>
        <v>0</v>
      </c>
      <c r="Y14" s="92">
        <f t="shared" si="11"/>
        <v>0</v>
      </c>
    </row>
    <row r="15" spans="1:27">
      <c r="A15" s="90">
        <f t="shared" si="1"/>
        <v>567.56349726631993</v>
      </c>
      <c r="B15" s="90">
        <f t="shared" si="1"/>
        <v>2384000</v>
      </c>
      <c r="C15" s="90">
        <f t="shared" si="1"/>
        <v>4200</v>
      </c>
      <c r="D15" s="90">
        <f t="shared" si="2"/>
        <v>390</v>
      </c>
      <c r="E15" s="87">
        <f t="shared" si="0"/>
        <v>0</v>
      </c>
      <c r="F15" s="87">
        <f t="shared" si="0"/>
        <v>0</v>
      </c>
      <c r="G15" s="87">
        <f t="shared" si="0"/>
        <v>0</v>
      </c>
      <c r="H15" s="87">
        <f t="shared" si="0"/>
        <v>2384000</v>
      </c>
      <c r="I15" s="87">
        <f t="shared" si="0"/>
        <v>4200.411075558206</v>
      </c>
      <c r="J15" s="87">
        <f t="shared" si="0"/>
        <v>0</v>
      </c>
      <c r="K15" s="87">
        <f t="shared" si="0"/>
        <v>0</v>
      </c>
      <c r="L15" s="87"/>
      <c r="M15" s="92">
        <v>0</v>
      </c>
      <c r="N15" s="92">
        <f t="shared" si="3"/>
        <v>0</v>
      </c>
      <c r="O15" s="91">
        <v>5.61</v>
      </c>
      <c r="P15" s="92">
        <f t="shared" si="5"/>
        <v>678.9039473040001</v>
      </c>
      <c r="Q15" s="92">
        <f t="shared" si="6"/>
        <v>6109.2534845746677</v>
      </c>
      <c r="R15" s="92">
        <f t="shared" si="7"/>
        <v>567.56349726631993</v>
      </c>
      <c r="S15" s="92">
        <v>2384000</v>
      </c>
      <c r="T15" s="92">
        <f t="shared" si="8"/>
        <v>4200</v>
      </c>
      <c r="U15" s="90">
        <v>0</v>
      </c>
      <c r="V15" s="92">
        <v>0</v>
      </c>
      <c r="W15" s="92">
        <f t="shared" si="9"/>
        <v>0</v>
      </c>
      <c r="X15" s="92">
        <f t="shared" si="10"/>
        <v>2384000</v>
      </c>
      <c r="Y15" s="92">
        <f t="shared" si="11"/>
        <v>4200.411075558206</v>
      </c>
    </row>
    <row r="16" spans="1:27">
      <c r="A16" s="90">
        <f t="shared" si="1"/>
        <v>6070.1978317253461</v>
      </c>
      <c r="B16" s="90">
        <f t="shared" si="1"/>
        <v>6000000</v>
      </c>
      <c r="C16" s="90">
        <f t="shared" si="1"/>
        <v>988</v>
      </c>
      <c r="D16" s="90">
        <f t="shared" si="2"/>
        <v>92</v>
      </c>
      <c r="E16" s="87">
        <f t="shared" si="0"/>
        <v>0</v>
      </c>
      <c r="F16" s="87">
        <f t="shared" si="0"/>
        <v>0</v>
      </c>
      <c r="G16" s="87">
        <f t="shared" si="0"/>
        <v>0</v>
      </c>
      <c r="H16" s="87">
        <f t="shared" si="0"/>
        <v>6000000</v>
      </c>
      <c r="I16" s="87">
        <f t="shared" si="0"/>
        <v>988.43565997825249</v>
      </c>
      <c r="J16" s="87">
        <f t="shared" si="0"/>
        <v>0</v>
      </c>
      <c r="K16" s="87">
        <f t="shared" si="0"/>
        <v>0</v>
      </c>
      <c r="L16" s="87"/>
      <c r="M16" s="92">
        <v>0</v>
      </c>
      <c r="N16" s="92">
        <f t="shared" si="3"/>
        <v>0</v>
      </c>
      <c r="O16" s="92">
        <v>60</v>
      </c>
      <c r="P16" s="92">
        <f t="shared" si="5"/>
        <v>7261.0047839999997</v>
      </c>
      <c r="Q16" s="92">
        <f t="shared" si="6"/>
        <v>65339.609460691623</v>
      </c>
      <c r="R16" s="92">
        <f t="shared" si="7"/>
        <v>6070.1978317253461</v>
      </c>
      <c r="S16" s="92">
        <v>6000000</v>
      </c>
      <c r="T16" s="92">
        <f t="shared" si="8"/>
        <v>988</v>
      </c>
      <c r="U16" s="90">
        <v>0</v>
      </c>
      <c r="V16" s="92">
        <v>0</v>
      </c>
      <c r="W16" s="92">
        <f t="shared" si="9"/>
        <v>0</v>
      </c>
      <c r="X16" s="92">
        <f t="shared" si="10"/>
        <v>6000000</v>
      </c>
      <c r="Y16" s="92">
        <f t="shared" si="11"/>
        <v>988.43565997825249</v>
      </c>
    </row>
    <row r="17" spans="1:25">
      <c r="A17" s="90">
        <f t="shared" si="1"/>
        <v>1011.6996386208911</v>
      </c>
      <c r="B17" s="90">
        <f t="shared" si="1"/>
        <v>1500000</v>
      </c>
      <c r="C17" s="90">
        <f t="shared" si="1"/>
        <v>1483</v>
      </c>
      <c r="D17" s="90">
        <f t="shared" si="2"/>
        <v>138</v>
      </c>
      <c r="E17" s="87">
        <f t="shared" ref="E17:K18" si="12">U17</f>
        <v>0</v>
      </c>
      <c r="F17" s="87">
        <f t="shared" si="12"/>
        <v>0</v>
      </c>
      <c r="G17" s="87">
        <f t="shared" si="12"/>
        <v>0</v>
      </c>
      <c r="H17" s="87">
        <f t="shared" si="12"/>
        <v>1500000</v>
      </c>
      <c r="I17" s="87">
        <f t="shared" si="12"/>
        <v>1482.6534899673788</v>
      </c>
      <c r="J17" s="87">
        <f t="shared" si="12"/>
        <v>0</v>
      </c>
      <c r="K17" s="87">
        <f t="shared" si="12"/>
        <v>0</v>
      </c>
      <c r="L17" s="87"/>
      <c r="M17" s="92">
        <v>0</v>
      </c>
      <c r="N17" s="92">
        <f t="shared" si="3"/>
        <v>0</v>
      </c>
      <c r="O17" s="92">
        <v>10</v>
      </c>
      <c r="P17" s="92">
        <f t="shared" si="5"/>
        <v>1210.1674640000001</v>
      </c>
      <c r="Q17" s="92">
        <f t="shared" si="6"/>
        <v>10889.934910115271</v>
      </c>
      <c r="R17" s="92">
        <f t="shared" si="7"/>
        <v>1011.6996386208911</v>
      </c>
      <c r="S17" s="92">
        <v>1500000</v>
      </c>
      <c r="T17" s="92">
        <f t="shared" si="8"/>
        <v>1483</v>
      </c>
      <c r="U17" s="90">
        <v>0</v>
      </c>
      <c r="V17" s="92">
        <v>0</v>
      </c>
      <c r="W17" s="92">
        <f t="shared" si="9"/>
        <v>0</v>
      </c>
      <c r="X17" s="92">
        <f t="shared" si="10"/>
        <v>1500000</v>
      </c>
      <c r="Y17" s="92">
        <f t="shared" si="11"/>
        <v>1482.6534899673788</v>
      </c>
    </row>
    <row r="18" spans="1:25">
      <c r="A18" s="90">
        <f t="shared" ref="A18:C18" si="13">R18</f>
        <v>0</v>
      </c>
      <c r="B18" s="90">
        <f t="shared" si="13"/>
        <v>0</v>
      </c>
      <c r="C18" s="90" t="e">
        <f t="shared" si="13"/>
        <v>#DIV/0!</v>
      </c>
      <c r="D18" s="90" t="e">
        <f t="shared" si="2"/>
        <v>#DIV/0!</v>
      </c>
      <c r="E18" s="87">
        <f t="shared" si="12"/>
        <v>0</v>
      </c>
      <c r="F18" s="87">
        <f t="shared" si="12"/>
        <v>0</v>
      </c>
      <c r="G18" s="87">
        <f t="shared" si="12"/>
        <v>0</v>
      </c>
      <c r="H18" s="87">
        <f t="shared" si="12"/>
        <v>0</v>
      </c>
      <c r="I18" s="87" t="e">
        <f t="shared" si="12"/>
        <v>#DIV/0!</v>
      </c>
      <c r="J18" s="87">
        <f t="shared" si="12"/>
        <v>0</v>
      </c>
      <c r="K18" s="87">
        <f t="shared" si="12"/>
        <v>0</v>
      </c>
      <c r="L18" s="87"/>
      <c r="M18" s="92">
        <v>0</v>
      </c>
      <c r="N18" s="92">
        <f t="shared" si="3"/>
        <v>0</v>
      </c>
      <c r="O18" s="92">
        <f t="shared" si="4"/>
        <v>0</v>
      </c>
      <c r="P18" s="92">
        <f t="shared" si="5"/>
        <v>0</v>
      </c>
      <c r="Q18" s="92">
        <f t="shared" si="6"/>
        <v>0</v>
      </c>
      <c r="R18" s="92">
        <f t="shared" si="7"/>
        <v>0</v>
      </c>
      <c r="S18" s="92">
        <v>0</v>
      </c>
      <c r="T18" s="92" t="e">
        <f t="shared" si="8"/>
        <v>#DIV/0!</v>
      </c>
      <c r="U18" s="90">
        <v>0</v>
      </c>
      <c r="V18" s="92">
        <v>0</v>
      </c>
      <c r="W18" s="92">
        <f t="shared" si="9"/>
        <v>0</v>
      </c>
      <c r="X18" s="92">
        <f t="shared" si="10"/>
        <v>0</v>
      </c>
      <c r="Y18" s="92" t="e">
        <f t="shared" si="11"/>
        <v>#DIV/0!</v>
      </c>
    </row>
    <row r="20" spans="1:25">
      <c r="T20" s="92">
        <f>1483*10000</f>
        <v>14830000</v>
      </c>
    </row>
    <row r="22" spans="1:25">
      <c r="M22" s="92">
        <v>1172.32</v>
      </c>
      <c r="N22" s="92">
        <f>M22*10.764</f>
        <v>12618.852479999998</v>
      </c>
      <c r="O22" s="92">
        <f>N22/121.0167464</f>
        <v>104.27360555778417</v>
      </c>
      <c r="P22" s="92">
        <v>105000</v>
      </c>
      <c r="Q22" s="92">
        <f>O22*P22</f>
        <v>10948728.583567338</v>
      </c>
    </row>
    <row r="23" spans="1:25">
      <c r="M23" s="92">
        <v>1439</v>
      </c>
      <c r="N23" s="92">
        <f>M23*10.764</f>
        <v>15489.395999999999</v>
      </c>
      <c r="O23" s="92">
        <f>N23/121.0167464</f>
        <v>127.99382284500088</v>
      </c>
      <c r="P23" s="92">
        <v>105000</v>
      </c>
      <c r="Q23" s="92">
        <f>O23*P23</f>
        <v>13439351.398725092</v>
      </c>
      <c r="T23" s="92">
        <f>S15/O15</f>
        <v>424955.43672014261</v>
      </c>
      <c r="U23" s="91">
        <v>5.61</v>
      </c>
      <c r="V23" s="92">
        <f>U23*V24/V26</f>
        <v>554.50447634116949</v>
      </c>
    </row>
    <row r="24" spans="1:25">
      <c r="F24" s="92">
        <f>30000/10.764</f>
        <v>2787.0680044593091</v>
      </c>
      <c r="V24" s="92">
        <v>1</v>
      </c>
    </row>
    <row r="26" spans="1:25">
      <c r="M26" s="91">
        <v>1</v>
      </c>
      <c r="N26" s="91">
        <v>2.4700000000000002</v>
      </c>
      <c r="U26" s="92">
        <v>1</v>
      </c>
      <c r="V26" s="124">
        <v>1.011714105E-2</v>
      </c>
    </row>
    <row r="27" spans="1:25">
      <c r="M27" s="91">
        <f>M26*N27/N26</f>
        <v>9.3684210526315788</v>
      </c>
      <c r="N27" s="91">
        <v>23.14</v>
      </c>
      <c r="Q27" s="92">
        <v>11107789</v>
      </c>
      <c r="R27" s="92">
        <v>17424</v>
      </c>
      <c r="S27" s="92">
        <f>Q27/R27</f>
        <v>637.49936868686871</v>
      </c>
      <c r="U27" s="91">
        <v>5.61</v>
      </c>
      <c r="V27" s="125">
        <f>U27*V26/U26</f>
        <v>5.6757161290500006E-2</v>
      </c>
      <c r="W27" s="92">
        <f>T23/V27</f>
        <v>7487256.710128515</v>
      </c>
    </row>
    <row r="29" spans="1:25">
      <c r="M29" s="93">
        <v>9.2567000000000004</v>
      </c>
    </row>
    <row r="30" spans="1:25">
      <c r="M30" s="92">
        <v>37024000</v>
      </c>
    </row>
    <row r="31" spans="1:25">
      <c r="M31" s="92">
        <f>M30/M29</f>
        <v>3999697.5163935311</v>
      </c>
      <c r="N31" s="92">
        <v>1600000</v>
      </c>
    </row>
    <row r="32" spans="1:25">
      <c r="M32" s="90">
        <f>M31*N32/N31</f>
        <v>4499659.705942723</v>
      </c>
      <c r="N32" s="90">
        <v>1800000</v>
      </c>
      <c r="U32" s="92">
        <v>10000</v>
      </c>
      <c r="V32" s="92">
        <v>1</v>
      </c>
    </row>
    <row r="33" spans="12:24">
      <c r="U33" s="92">
        <v>500</v>
      </c>
      <c r="V33" s="91">
        <f>U33*V32/U32</f>
        <v>0.05</v>
      </c>
      <c r="W33" s="92">
        <v>2500000</v>
      </c>
      <c r="X33" s="92">
        <f>W33/V33</f>
        <v>50000000</v>
      </c>
    </row>
    <row r="35" spans="12:24">
      <c r="S35" s="92">
        <f>S16/O16</f>
        <v>100000</v>
      </c>
      <c r="U35" s="92">
        <f>988*10000</f>
        <v>9880000</v>
      </c>
    </row>
    <row r="37" spans="12:24">
      <c r="L37" s="92">
        <v>1800000</v>
      </c>
      <c r="M37" s="92" t="s">
        <v>93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16"/>
  <sheetViews>
    <sheetView workbookViewId="0">
      <selection activeCell="K15" sqref="K15"/>
    </sheetView>
  </sheetViews>
  <sheetFormatPr defaultRowHeight="15"/>
  <cols>
    <col min="2" max="2" width="9.7109375" customWidth="1"/>
    <col min="8" max="9" width="13.7109375" customWidth="1"/>
    <col min="11" max="11" width="11" customWidth="1"/>
  </cols>
  <sheetData>
    <row r="1" spans="1:11" ht="114.75">
      <c r="A1" s="96" t="s">
        <v>95</v>
      </c>
      <c r="B1" s="96" t="s">
        <v>96</v>
      </c>
      <c r="C1" s="96" t="s">
        <v>97</v>
      </c>
      <c r="D1" s="96" t="s">
        <v>98</v>
      </c>
      <c r="E1" s="96" t="s">
        <v>116</v>
      </c>
      <c r="F1" s="96" t="s">
        <v>117</v>
      </c>
      <c r="G1" s="96" t="s">
        <v>118</v>
      </c>
      <c r="H1" s="96" t="s">
        <v>119</v>
      </c>
      <c r="I1" s="96" t="s">
        <v>120</v>
      </c>
      <c r="J1" s="96" t="s">
        <v>122</v>
      </c>
      <c r="K1" s="96" t="s">
        <v>123</v>
      </c>
    </row>
    <row r="2" spans="1:11" ht="127.5">
      <c r="A2" s="97">
        <v>1</v>
      </c>
      <c r="B2" s="98" t="s">
        <v>104</v>
      </c>
      <c r="C2" s="98">
        <v>2013</v>
      </c>
      <c r="D2" s="98">
        <v>1</v>
      </c>
      <c r="E2" s="98">
        <v>10</v>
      </c>
      <c r="F2" s="98">
        <v>11</v>
      </c>
      <c r="G2" s="98">
        <v>0</v>
      </c>
      <c r="H2" s="98">
        <v>110000</v>
      </c>
      <c r="I2" s="98">
        <v>99000</v>
      </c>
      <c r="J2" s="98" t="s">
        <v>100</v>
      </c>
      <c r="K2" s="98">
        <v>11000</v>
      </c>
    </row>
    <row r="3" spans="1:11" ht="114.75">
      <c r="A3" s="99">
        <v>2</v>
      </c>
      <c r="B3" s="100" t="s">
        <v>105</v>
      </c>
      <c r="C3" s="98">
        <v>2013</v>
      </c>
      <c r="D3" s="100">
        <v>12</v>
      </c>
      <c r="E3" s="98">
        <v>10</v>
      </c>
      <c r="F3" s="98">
        <v>11</v>
      </c>
      <c r="G3" s="100">
        <v>0</v>
      </c>
      <c r="H3" s="100">
        <v>75000</v>
      </c>
      <c r="I3" s="100">
        <v>67500</v>
      </c>
      <c r="J3" s="98" t="s">
        <v>100</v>
      </c>
      <c r="K3" s="98">
        <v>7500</v>
      </c>
    </row>
    <row r="4" spans="1:11" ht="229.5">
      <c r="A4" s="97">
        <v>3</v>
      </c>
      <c r="B4" s="98" t="s">
        <v>106</v>
      </c>
      <c r="C4" s="98">
        <v>2013</v>
      </c>
      <c r="D4" s="98">
        <v>1</v>
      </c>
      <c r="E4" s="98">
        <v>10</v>
      </c>
      <c r="F4" s="98">
        <v>11</v>
      </c>
      <c r="G4" s="98">
        <v>0</v>
      </c>
      <c r="H4" s="98">
        <v>850000</v>
      </c>
      <c r="I4" s="98">
        <v>765000</v>
      </c>
      <c r="J4" s="98" t="s">
        <v>100</v>
      </c>
      <c r="K4" s="98">
        <v>85000</v>
      </c>
    </row>
    <row r="5" spans="1:11" ht="63.75">
      <c r="A5" s="99">
        <v>4</v>
      </c>
      <c r="B5" s="100" t="s">
        <v>107</v>
      </c>
      <c r="C5" s="98">
        <v>2013</v>
      </c>
      <c r="D5" s="100">
        <v>1</v>
      </c>
      <c r="E5" s="98">
        <v>10</v>
      </c>
      <c r="F5" s="98">
        <v>11</v>
      </c>
      <c r="G5" s="100">
        <v>0</v>
      </c>
      <c r="H5" s="100">
        <v>30000</v>
      </c>
      <c r="I5" s="100">
        <v>27000</v>
      </c>
      <c r="J5" s="98" t="s">
        <v>100</v>
      </c>
      <c r="K5" s="98">
        <v>3000</v>
      </c>
    </row>
    <row r="6" spans="1:11" ht="51">
      <c r="A6" s="97">
        <v>5</v>
      </c>
      <c r="B6" s="98" t="s">
        <v>108</v>
      </c>
      <c r="C6" s="98">
        <v>2013</v>
      </c>
      <c r="D6" s="98">
        <v>1</v>
      </c>
      <c r="E6" s="98">
        <v>10</v>
      </c>
      <c r="F6" s="98">
        <v>10</v>
      </c>
      <c r="G6" s="100">
        <v>0</v>
      </c>
      <c r="H6" s="98">
        <v>50000</v>
      </c>
      <c r="I6" s="98">
        <v>45000</v>
      </c>
      <c r="J6" s="98" t="s">
        <v>100</v>
      </c>
      <c r="K6" s="98">
        <v>5000</v>
      </c>
    </row>
    <row r="7" spans="1:11" ht="76.5">
      <c r="A7" s="99">
        <v>6</v>
      </c>
      <c r="B7" s="100" t="s">
        <v>109</v>
      </c>
      <c r="C7" s="98">
        <v>2013</v>
      </c>
      <c r="D7" s="100">
        <v>1</v>
      </c>
      <c r="E7" s="98">
        <v>10</v>
      </c>
      <c r="F7" s="98">
        <v>10</v>
      </c>
      <c r="G7" s="100">
        <v>0</v>
      </c>
      <c r="H7" s="100">
        <v>75000</v>
      </c>
      <c r="I7" s="100">
        <v>67500</v>
      </c>
      <c r="J7" s="98" t="s">
        <v>100</v>
      </c>
      <c r="K7" s="98">
        <v>7500</v>
      </c>
    </row>
    <row r="8" spans="1:11" ht="89.25">
      <c r="A8" s="97">
        <v>7</v>
      </c>
      <c r="B8" s="98" t="s">
        <v>110</v>
      </c>
      <c r="C8" s="98">
        <v>2013</v>
      </c>
      <c r="D8" s="98">
        <v>1</v>
      </c>
      <c r="E8" s="98">
        <v>10</v>
      </c>
      <c r="F8" s="98">
        <v>10</v>
      </c>
      <c r="G8" s="100">
        <v>0</v>
      </c>
      <c r="H8" s="98">
        <v>850000</v>
      </c>
      <c r="I8" s="98">
        <v>765000</v>
      </c>
      <c r="J8" s="98" t="s">
        <v>100</v>
      </c>
      <c r="K8" s="98">
        <v>85000</v>
      </c>
    </row>
    <row r="9" spans="1:11" ht="51">
      <c r="A9" s="99">
        <v>8</v>
      </c>
      <c r="B9" s="100" t="s">
        <v>111</v>
      </c>
      <c r="C9" s="98">
        <v>2013</v>
      </c>
      <c r="D9" s="100">
        <v>1</v>
      </c>
      <c r="E9" s="98">
        <v>10</v>
      </c>
      <c r="F9" s="98">
        <v>10</v>
      </c>
      <c r="G9" s="100">
        <v>0</v>
      </c>
      <c r="H9" s="100">
        <v>6500</v>
      </c>
      <c r="I9" s="100">
        <v>5850</v>
      </c>
      <c r="J9" s="98" t="s">
        <v>100</v>
      </c>
      <c r="K9" s="98">
        <v>650</v>
      </c>
    </row>
    <row r="10" spans="1:11" ht="38.25">
      <c r="A10" s="97">
        <v>9</v>
      </c>
      <c r="B10" s="98" t="s">
        <v>112</v>
      </c>
      <c r="C10" s="98">
        <v>2013</v>
      </c>
      <c r="D10" s="98" t="s">
        <v>99</v>
      </c>
      <c r="E10" s="98">
        <v>10</v>
      </c>
      <c r="F10" s="98">
        <v>10</v>
      </c>
      <c r="G10" s="100">
        <v>0</v>
      </c>
      <c r="H10" s="98">
        <v>10000</v>
      </c>
      <c r="I10" s="98">
        <v>9000</v>
      </c>
      <c r="J10" s="98" t="s">
        <v>100</v>
      </c>
      <c r="K10" s="98">
        <v>1000</v>
      </c>
    </row>
    <row r="11" spans="1:11" ht="51">
      <c r="A11" s="99">
        <v>10</v>
      </c>
      <c r="B11" s="100" t="s">
        <v>113</v>
      </c>
      <c r="C11" s="98">
        <v>2013</v>
      </c>
      <c r="D11" s="100">
        <v>12</v>
      </c>
      <c r="E11" s="98">
        <v>10</v>
      </c>
      <c r="F11" s="98">
        <v>10</v>
      </c>
      <c r="G11" s="100">
        <v>0</v>
      </c>
      <c r="H11" s="100">
        <v>48000</v>
      </c>
      <c r="I11" s="100">
        <v>43200</v>
      </c>
      <c r="J11" s="98" t="s">
        <v>100</v>
      </c>
      <c r="K11" s="98">
        <v>4800</v>
      </c>
    </row>
    <row r="12" spans="1:11" ht="127.5">
      <c r="A12" s="97">
        <v>11</v>
      </c>
      <c r="B12" s="98" t="s">
        <v>114</v>
      </c>
      <c r="C12" s="98">
        <v>2013</v>
      </c>
      <c r="D12" s="98" t="s">
        <v>99</v>
      </c>
      <c r="E12" s="98">
        <v>10</v>
      </c>
      <c r="F12" s="98">
        <v>15</v>
      </c>
      <c r="G12" s="98">
        <v>5</v>
      </c>
      <c r="H12" s="98">
        <v>500000</v>
      </c>
      <c r="I12" s="98">
        <v>300000</v>
      </c>
      <c r="J12" s="98" t="s">
        <v>100</v>
      </c>
      <c r="K12" s="98">
        <v>200000</v>
      </c>
    </row>
    <row r="13" spans="1:11" ht="140.25">
      <c r="A13" s="99">
        <v>12</v>
      </c>
      <c r="B13" s="100" t="s">
        <v>115</v>
      </c>
      <c r="C13" s="98">
        <v>2013</v>
      </c>
      <c r="D13" s="100"/>
      <c r="E13" s="100"/>
      <c r="F13" s="100"/>
      <c r="G13" s="100"/>
      <c r="H13" s="100"/>
      <c r="I13" s="100" t="s">
        <v>121</v>
      </c>
      <c r="J13" s="100" t="s">
        <v>121</v>
      </c>
      <c r="K13" s="100">
        <v>25000</v>
      </c>
    </row>
    <row r="14" spans="1:11">
      <c r="A14" s="132" t="s">
        <v>101</v>
      </c>
      <c r="B14" s="132"/>
      <c r="C14" s="132"/>
      <c r="D14" s="132"/>
      <c r="E14" s="132"/>
      <c r="F14" s="132"/>
      <c r="G14" s="132"/>
      <c r="H14" s="132"/>
      <c r="I14" s="99"/>
      <c r="J14" s="99"/>
      <c r="K14" s="99">
        <f>SUM(K2:K13)</f>
        <v>435450</v>
      </c>
    </row>
    <row r="15" spans="1:11">
      <c r="A15" s="131" t="s">
        <v>102</v>
      </c>
      <c r="B15" s="131"/>
      <c r="C15" s="131"/>
      <c r="D15" s="131"/>
      <c r="E15" s="131"/>
      <c r="F15" s="131"/>
      <c r="G15" s="131"/>
      <c r="H15" s="131"/>
      <c r="I15" s="97"/>
      <c r="J15" s="97"/>
      <c r="K15" s="97">
        <f>K14*0.85</f>
        <v>370132.5</v>
      </c>
    </row>
    <row r="16" spans="1:11">
      <c r="A16" s="132" t="s">
        <v>103</v>
      </c>
      <c r="B16" s="132"/>
      <c r="C16" s="132"/>
      <c r="D16" s="132"/>
      <c r="E16" s="132"/>
      <c r="F16" s="132"/>
      <c r="G16" s="132"/>
      <c r="H16" s="132"/>
      <c r="I16" s="99"/>
      <c r="J16" s="99"/>
      <c r="K16" s="99">
        <f>K14*0.75</f>
        <v>326587.5</v>
      </c>
    </row>
  </sheetData>
  <mergeCells count="3">
    <mergeCell ref="A15:H15"/>
    <mergeCell ref="A16:H16"/>
    <mergeCell ref="A14:H14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9F0336-6954-4CE3-9C7A-07B57DB14B03}">
  <dimension ref="A1:K16"/>
  <sheetViews>
    <sheetView topLeftCell="A13" workbookViewId="0">
      <selection activeCell="M28" sqref="M28"/>
    </sheetView>
  </sheetViews>
  <sheetFormatPr defaultRowHeight="15"/>
  <sheetData>
    <row r="1" spans="1:11" ht="95.25" thickBot="1">
      <c r="A1" s="101" t="s">
        <v>95</v>
      </c>
      <c r="B1" s="102" t="s">
        <v>96</v>
      </c>
      <c r="C1" s="102" t="s">
        <v>97</v>
      </c>
      <c r="D1" s="102" t="s">
        <v>98</v>
      </c>
      <c r="E1" s="102" t="s">
        <v>116</v>
      </c>
      <c r="F1" s="102" t="s">
        <v>117</v>
      </c>
      <c r="G1" s="102" t="s">
        <v>118</v>
      </c>
      <c r="H1" s="102" t="s">
        <v>124</v>
      </c>
      <c r="I1" s="102" t="s">
        <v>125</v>
      </c>
      <c r="J1" s="102" t="s">
        <v>126</v>
      </c>
      <c r="K1" s="103" t="s">
        <v>127</v>
      </c>
    </row>
    <row r="2" spans="1:11" ht="135.75" thickBot="1">
      <c r="A2" s="104">
        <v>1</v>
      </c>
      <c r="B2" s="105" t="s">
        <v>128</v>
      </c>
      <c r="C2" s="106">
        <v>2013</v>
      </c>
      <c r="D2" s="107">
        <v>1</v>
      </c>
      <c r="E2" s="107">
        <v>10</v>
      </c>
      <c r="F2" s="107">
        <v>11</v>
      </c>
      <c r="G2" s="107" t="s">
        <v>100</v>
      </c>
      <c r="H2" s="106">
        <v>120000</v>
      </c>
      <c r="I2" s="106">
        <v>99000</v>
      </c>
      <c r="J2" s="107" t="s">
        <v>100</v>
      </c>
      <c r="K2" s="106">
        <v>12000</v>
      </c>
    </row>
    <row r="3" spans="1:11" ht="108.75" thickBot="1">
      <c r="A3" s="108">
        <v>2</v>
      </c>
      <c r="B3" s="109" t="s">
        <v>129</v>
      </c>
      <c r="C3" s="110">
        <v>2013</v>
      </c>
      <c r="D3" s="111">
        <v>12</v>
      </c>
      <c r="E3" s="111">
        <v>10</v>
      </c>
      <c r="F3" s="111">
        <v>11</v>
      </c>
      <c r="G3" s="111" t="s">
        <v>100</v>
      </c>
      <c r="H3" s="110">
        <v>70000</v>
      </c>
      <c r="I3" s="110">
        <v>67500</v>
      </c>
      <c r="J3" s="111" t="s">
        <v>100</v>
      </c>
      <c r="K3" s="110">
        <v>7000</v>
      </c>
    </row>
    <row r="4" spans="1:11" ht="230.25" thickBot="1">
      <c r="A4" s="104">
        <v>3</v>
      </c>
      <c r="B4" s="105" t="s">
        <v>130</v>
      </c>
      <c r="C4" s="106">
        <v>2013</v>
      </c>
      <c r="D4" s="107">
        <v>1</v>
      </c>
      <c r="E4" s="107">
        <v>10</v>
      </c>
      <c r="F4" s="107">
        <v>11</v>
      </c>
      <c r="G4" s="107" t="s">
        <v>100</v>
      </c>
      <c r="H4" s="106">
        <v>850000</v>
      </c>
      <c r="I4" s="106">
        <v>765000</v>
      </c>
      <c r="J4" s="107" t="s">
        <v>100</v>
      </c>
      <c r="K4" s="106">
        <v>85000</v>
      </c>
    </row>
    <row r="5" spans="1:11" ht="68.25" thickBot="1">
      <c r="A5" s="108">
        <v>4</v>
      </c>
      <c r="B5" s="109" t="s">
        <v>107</v>
      </c>
      <c r="C5" s="110">
        <v>2013</v>
      </c>
      <c r="D5" s="111">
        <v>1</v>
      </c>
      <c r="E5" s="111">
        <v>10</v>
      </c>
      <c r="F5" s="111">
        <v>11</v>
      </c>
      <c r="G5" s="111" t="s">
        <v>100</v>
      </c>
      <c r="H5" s="110">
        <v>30000</v>
      </c>
      <c r="I5" s="110">
        <v>27000</v>
      </c>
      <c r="J5" s="111" t="s">
        <v>100</v>
      </c>
      <c r="K5" s="110">
        <v>3000</v>
      </c>
    </row>
    <row r="6" spans="1:11" ht="54.75" thickBot="1">
      <c r="A6" s="104">
        <v>5</v>
      </c>
      <c r="B6" s="105" t="s">
        <v>131</v>
      </c>
      <c r="C6" s="106">
        <v>2013</v>
      </c>
      <c r="D6" s="107">
        <v>1</v>
      </c>
      <c r="E6" s="107">
        <v>10</v>
      </c>
      <c r="F6" s="107">
        <v>10</v>
      </c>
      <c r="G6" s="107" t="s">
        <v>100</v>
      </c>
      <c r="H6" s="106">
        <v>50000</v>
      </c>
      <c r="I6" s="106">
        <v>45000</v>
      </c>
      <c r="J6" s="107" t="s">
        <v>100</v>
      </c>
      <c r="K6" s="106">
        <v>5000</v>
      </c>
    </row>
    <row r="7" spans="1:11" ht="81.75" thickBot="1">
      <c r="A7" s="108">
        <v>6</v>
      </c>
      <c r="B7" s="109" t="s">
        <v>132</v>
      </c>
      <c r="C7" s="110">
        <v>2013</v>
      </c>
      <c r="D7" s="111">
        <v>1</v>
      </c>
      <c r="E7" s="111">
        <v>10</v>
      </c>
      <c r="F7" s="111">
        <v>10</v>
      </c>
      <c r="G7" s="111" t="s">
        <v>100</v>
      </c>
      <c r="H7" s="110">
        <v>70000</v>
      </c>
      <c r="I7" s="110">
        <v>67500</v>
      </c>
      <c r="J7" s="111" t="s">
        <v>100</v>
      </c>
      <c r="K7" s="110">
        <v>7000</v>
      </c>
    </row>
    <row r="8" spans="1:11" ht="95.25" thickBot="1">
      <c r="A8" s="104">
        <v>7</v>
      </c>
      <c r="B8" s="105" t="s">
        <v>133</v>
      </c>
      <c r="C8" s="106">
        <v>2013</v>
      </c>
      <c r="D8" s="107">
        <v>1</v>
      </c>
      <c r="E8" s="107">
        <v>10</v>
      </c>
      <c r="F8" s="107">
        <v>10</v>
      </c>
      <c r="G8" s="107" t="s">
        <v>100</v>
      </c>
      <c r="H8" s="106">
        <v>850000</v>
      </c>
      <c r="I8" s="106">
        <v>765000</v>
      </c>
      <c r="J8" s="107" t="s">
        <v>100</v>
      </c>
      <c r="K8" s="106">
        <v>85000</v>
      </c>
    </row>
    <row r="9" spans="1:11" ht="54.75" thickBot="1">
      <c r="A9" s="108">
        <v>8</v>
      </c>
      <c r="B9" s="109" t="s">
        <v>134</v>
      </c>
      <c r="C9" s="110">
        <v>2013</v>
      </c>
      <c r="D9" s="111">
        <v>1</v>
      </c>
      <c r="E9" s="111">
        <v>10</v>
      </c>
      <c r="F9" s="111">
        <v>10</v>
      </c>
      <c r="G9" s="111" t="s">
        <v>100</v>
      </c>
      <c r="H9" s="110">
        <v>6500</v>
      </c>
      <c r="I9" s="110">
        <v>5850</v>
      </c>
      <c r="J9" s="111" t="s">
        <v>100</v>
      </c>
      <c r="K9" s="111">
        <v>650</v>
      </c>
    </row>
    <row r="10" spans="1:11" ht="41.25" thickBot="1">
      <c r="A10" s="104">
        <v>9</v>
      </c>
      <c r="B10" s="105" t="s">
        <v>135</v>
      </c>
      <c r="C10" s="106">
        <v>2013</v>
      </c>
      <c r="D10" s="107" t="s">
        <v>99</v>
      </c>
      <c r="E10" s="107">
        <v>10</v>
      </c>
      <c r="F10" s="107">
        <v>10</v>
      </c>
      <c r="G10" s="107" t="s">
        <v>100</v>
      </c>
      <c r="H10" s="106">
        <v>10000</v>
      </c>
      <c r="I10" s="106">
        <v>9000</v>
      </c>
      <c r="J10" s="107" t="s">
        <v>100</v>
      </c>
      <c r="K10" s="106">
        <v>1000</v>
      </c>
    </row>
    <row r="11" spans="1:11" ht="41.25" thickBot="1">
      <c r="A11" s="108">
        <v>10</v>
      </c>
      <c r="B11" s="109" t="s">
        <v>136</v>
      </c>
      <c r="C11" s="110">
        <v>2013</v>
      </c>
      <c r="D11" s="111">
        <v>12</v>
      </c>
      <c r="E11" s="111">
        <v>10</v>
      </c>
      <c r="F11" s="111">
        <v>10</v>
      </c>
      <c r="G11" s="111" t="s">
        <v>100</v>
      </c>
      <c r="H11" s="110">
        <v>48000</v>
      </c>
      <c r="I11" s="110">
        <v>43200</v>
      </c>
      <c r="J11" s="111" t="s">
        <v>100</v>
      </c>
      <c r="K11" s="110">
        <v>4800</v>
      </c>
    </row>
    <row r="12" spans="1:11" ht="122.25" thickBot="1">
      <c r="A12" s="104">
        <v>11</v>
      </c>
      <c r="B12" s="105" t="s">
        <v>137</v>
      </c>
      <c r="C12" s="106">
        <v>2013</v>
      </c>
      <c r="D12" s="107" t="s">
        <v>99</v>
      </c>
      <c r="E12" s="107">
        <v>10</v>
      </c>
      <c r="F12" s="107">
        <v>15</v>
      </c>
      <c r="G12" s="107">
        <v>5</v>
      </c>
      <c r="H12" s="106">
        <v>550000</v>
      </c>
      <c r="I12" s="106">
        <v>300000</v>
      </c>
      <c r="J12" s="107" t="s">
        <v>100</v>
      </c>
      <c r="K12" s="106">
        <v>165000</v>
      </c>
    </row>
    <row r="13" spans="1:11" ht="149.25" thickBot="1">
      <c r="A13" s="108">
        <v>12</v>
      </c>
      <c r="B13" s="109" t="s">
        <v>115</v>
      </c>
      <c r="C13" s="110">
        <v>2013</v>
      </c>
      <c r="D13" s="112"/>
      <c r="E13" s="112"/>
      <c r="F13" s="112"/>
      <c r="G13" s="112"/>
      <c r="H13" s="112"/>
      <c r="I13" s="111" t="s">
        <v>100</v>
      </c>
      <c r="J13" s="111" t="s">
        <v>121</v>
      </c>
      <c r="K13" s="110">
        <v>50000</v>
      </c>
    </row>
    <row r="14" spans="1:11" ht="15.75" thickBot="1">
      <c r="A14" s="133" t="s">
        <v>101</v>
      </c>
      <c r="B14" s="134"/>
      <c r="C14" s="134"/>
      <c r="D14" s="134"/>
      <c r="E14" s="134"/>
      <c r="F14" s="134"/>
      <c r="G14" s="134"/>
      <c r="H14" s="135"/>
      <c r="I14" s="113"/>
      <c r="J14" s="113"/>
      <c r="K14" s="114">
        <f>SUM(K2:K13)</f>
        <v>425450</v>
      </c>
    </row>
    <row r="15" spans="1:11" ht="15.75" thickBot="1">
      <c r="A15" s="136" t="s">
        <v>102</v>
      </c>
      <c r="B15" s="137"/>
      <c r="C15" s="137"/>
      <c r="D15" s="137"/>
      <c r="E15" s="137"/>
      <c r="F15" s="137"/>
      <c r="G15" s="137"/>
      <c r="H15" s="138"/>
      <c r="I15" s="112"/>
      <c r="J15" s="112"/>
      <c r="K15" s="115">
        <f>MROUND(K14*0.85,1)</f>
        <v>361633</v>
      </c>
    </row>
    <row r="16" spans="1:11" ht="15.75" thickBot="1">
      <c r="A16" s="133" t="s">
        <v>103</v>
      </c>
      <c r="B16" s="134"/>
      <c r="C16" s="134"/>
      <c r="D16" s="134"/>
      <c r="E16" s="134"/>
      <c r="F16" s="134"/>
      <c r="G16" s="134"/>
      <c r="H16" s="135"/>
      <c r="I16" s="113"/>
      <c r="J16" s="113"/>
      <c r="K16" s="114">
        <f>MROUND(K14*0.7,1)</f>
        <v>297815</v>
      </c>
    </row>
  </sheetData>
  <mergeCells count="3">
    <mergeCell ref="A14:H14"/>
    <mergeCell ref="A15:H15"/>
    <mergeCell ref="A16:H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Valuation</vt:lpstr>
      <vt:lpstr>Sheet1</vt:lpstr>
      <vt:lpstr>Sheet2</vt:lpstr>
      <vt:lpstr>Final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akhilesh Yadav</cp:lastModifiedBy>
  <dcterms:created xsi:type="dcterms:W3CDTF">2014-10-16T12:20:47Z</dcterms:created>
  <dcterms:modified xsi:type="dcterms:W3CDTF">2024-05-23T10:42:57Z</dcterms:modified>
</cp:coreProperties>
</file>