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Cosmos\Naupada\Sulakhi Chemicals Private Limited\"/>
    </mc:Choice>
  </mc:AlternateContent>
  <xr:revisionPtr revIDLastSave="0" documentId="13_ncr:1_{7634021E-8C51-41C2-B7EC-922FAC002DE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I63" i="1" l="1"/>
  <c r="J63" i="1" s="1"/>
  <c r="J64" i="1"/>
  <c r="I64" i="1"/>
  <c r="I62" i="1"/>
  <c r="J62" i="1" s="1"/>
  <c r="J66" i="1"/>
  <c r="J65" i="1"/>
  <c r="J61" i="1"/>
  <c r="I61" i="1"/>
  <c r="J60" i="1"/>
  <c r="I60" i="1"/>
  <c r="J59" i="1"/>
  <c r="I59" i="1"/>
  <c r="I58" i="1"/>
  <c r="I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I55" i="1"/>
  <c r="I54" i="1"/>
  <c r="I53" i="1"/>
  <c r="I49" i="1"/>
  <c r="I45" i="1"/>
  <c r="I44" i="1"/>
  <c r="I42" i="1"/>
  <c r="I41" i="1"/>
  <c r="I4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I36" i="1"/>
  <c r="I35" i="1"/>
  <c r="I34" i="1"/>
  <c r="I33" i="1"/>
  <c r="I32" i="1"/>
  <c r="I31" i="1"/>
  <c r="I30" i="1"/>
  <c r="I37" i="1" l="1"/>
  <c r="I38" i="1" s="1"/>
  <c r="C2" i="1"/>
  <c r="M26" i="1" l="1"/>
  <c r="I26" i="1"/>
  <c r="J26" i="1" s="1"/>
  <c r="K26" i="1" s="1"/>
  <c r="L26" i="1" s="1"/>
  <c r="M25" i="1"/>
  <c r="I25" i="1"/>
  <c r="J25" i="1" s="1"/>
  <c r="K25" i="1" s="1"/>
  <c r="L25" i="1" s="1"/>
  <c r="M24" i="1"/>
  <c r="I24" i="1"/>
  <c r="J24" i="1" s="1"/>
  <c r="K24" i="1" s="1"/>
  <c r="L24" i="1" s="1"/>
  <c r="M23" i="1"/>
  <c r="I23" i="1"/>
  <c r="J23" i="1" s="1"/>
  <c r="K23" i="1" s="1"/>
  <c r="L23" i="1" s="1"/>
  <c r="M22" i="1"/>
  <c r="I22" i="1"/>
  <c r="J22" i="1" s="1"/>
  <c r="K22" i="1" s="1"/>
  <c r="L22" i="1" s="1"/>
  <c r="M21" i="1"/>
  <c r="I21" i="1"/>
  <c r="J21" i="1" s="1"/>
  <c r="K21" i="1" s="1"/>
  <c r="L21" i="1" s="1"/>
  <c r="M20" i="1"/>
  <c r="I20" i="1"/>
  <c r="J20" i="1" s="1"/>
  <c r="K20" i="1" s="1"/>
  <c r="L20" i="1" s="1"/>
  <c r="M19" i="1"/>
  <c r="I19" i="1"/>
  <c r="J19" i="1" s="1"/>
  <c r="K19" i="1" s="1"/>
  <c r="L19" i="1" s="1"/>
  <c r="M18" i="1"/>
  <c r="I18" i="1"/>
  <c r="J18" i="1" s="1"/>
  <c r="K18" i="1" s="1"/>
  <c r="L18" i="1" s="1"/>
  <c r="M17" i="1"/>
  <c r="I17" i="1"/>
  <c r="J17" i="1" s="1"/>
  <c r="K17" i="1" s="1"/>
  <c r="L17" i="1" s="1"/>
  <c r="M16" i="1"/>
  <c r="I16" i="1"/>
  <c r="J16" i="1" s="1"/>
  <c r="K16" i="1" s="1"/>
  <c r="L16" i="1" s="1"/>
  <c r="M15" i="1"/>
  <c r="I15" i="1"/>
  <c r="J15" i="1" s="1"/>
  <c r="K15" i="1" s="1"/>
  <c r="L15" i="1" s="1"/>
  <c r="C32" i="1"/>
  <c r="C42" i="1" s="1"/>
  <c r="D42" i="1" s="1"/>
  <c r="C37" i="1"/>
  <c r="C43" i="1" s="1"/>
  <c r="D43" i="1" s="1"/>
  <c r="M14" i="1" l="1"/>
  <c r="M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C40" i="1" s="1"/>
  <c r="D40" i="1" s="1"/>
  <c r="I7" i="1"/>
  <c r="M27" i="1" l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s="1"/>
  <c r="L27" i="1" l="1"/>
  <c r="C41" i="1" s="1"/>
  <c r="C50" i="1"/>
  <c r="C51" i="1" s="1"/>
  <c r="C52" i="1" s="1"/>
  <c r="C44" i="1" l="1"/>
  <c r="D44" i="1" s="1"/>
  <c r="D45" i="1" s="1"/>
  <c r="C53" i="1"/>
  <c r="D53" i="1" s="1"/>
  <c r="D41" i="1"/>
  <c r="D49" i="1" l="1"/>
  <c r="C49" i="1"/>
  <c r="C45" i="1"/>
  <c r="C46" i="1"/>
  <c r="C47" i="1" s="1"/>
  <c r="C48" i="1" s="1"/>
</calcChain>
</file>

<file path=xl/sharedStrings.xml><?xml version="1.0" encoding="utf-8"?>
<sst xmlns="http://schemas.openxmlformats.org/spreadsheetml/2006/main" count="72" uniqueCount="63">
  <si>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</si>
  <si>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</si>
  <si>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</si>
  <si>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</si>
  <si>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</si>
  <si>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</si>
  <si>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</si>
  <si>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</si>
  <si>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</si>
  <si>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</si>
  <si>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</si>
  <si>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</si>
  <si>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</si>
  <si>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</si>
  <si>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</si>
  <si>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</si>
  <si>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</si>
  <si>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</si>
  <si>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</si>
  <si>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</si>
  <si>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</si>
  <si>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</si>
  <si>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</si>
  <si>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</si>
  <si>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</si>
  <si>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</si>
  <si>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</si>
  <si>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</si>
  <si>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</si>
  <si>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Plot  No. 33 &amp; 34</t>
  </si>
  <si>
    <t>Boiler House</t>
  </si>
  <si>
    <t>Office &amp; Lab</t>
  </si>
  <si>
    <t>Toilet Block</t>
  </si>
  <si>
    <t>Watchman Cabin &amp; Meter Room</t>
  </si>
  <si>
    <t>Production area &amp; Staircase</t>
  </si>
  <si>
    <t>Cooling Tower</t>
  </si>
  <si>
    <t>Transformer Area</t>
  </si>
  <si>
    <t>Dillution Tank</t>
  </si>
  <si>
    <t>Actid Tank</t>
  </si>
  <si>
    <t>Cosmos\Naupada\Sulakhi Chemicals Private Limited</t>
  </si>
  <si>
    <t>Remarks:</t>
  </si>
  <si>
    <t>1. As per Building Completion Certificate dated 19.07.1989 and information provided by the client the structueres are on Plot No. 33 and Plot No. 34 is used for tanks or ancillary structures.</t>
  </si>
  <si>
    <t>3. For the purpose of valuation we have considered the area as per Building Completion Certificate.</t>
  </si>
  <si>
    <t>2. As per Building Completion Certificate Production Unit was of Ground + 4 upper floors. Thereafter, as per client's information 1 more floor added in the unit . Approved Plan issued by MIDC for the said extra floor not provided. Hence same floor is not considered for valuation.</t>
  </si>
  <si>
    <t>mca</t>
  </si>
  <si>
    <t>Production palnt area shed - Ground Floor</t>
  </si>
  <si>
    <t>1st and 2nd floro area of production plant</t>
  </si>
  <si>
    <t>3rd and 4th floor</t>
  </si>
  <si>
    <t>5th floor</t>
  </si>
  <si>
    <t>6th and 7th floor worngly given</t>
  </si>
  <si>
    <t>Admin office</t>
  </si>
  <si>
    <t>store roof</t>
  </si>
  <si>
    <t>electrical room</t>
  </si>
  <si>
    <t>DG Room</t>
  </si>
  <si>
    <t xml:space="preserve">canteen </t>
  </si>
  <si>
    <t>store room</t>
  </si>
  <si>
    <t>TOTAL</t>
  </si>
  <si>
    <t>boiler</t>
  </si>
  <si>
    <t>temple</t>
  </si>
  <si>
    <t>changing room</t>
  </si>
  <si>
    <t>secuirty room</t>
  </si>
  <si>
    <t>pump house</t>
  </si>
  <si>
    <t>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</si>
</sst>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1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2"/>
      <name val="Calibri"/>
      <family val="2"/>
      <scheme val="minor"/>
    </font>
    <font>
      <u/>
      <sz val="11"/>
      <name val="Arial Narrow"/>
      <family val="2"/>
    </font>
    <font>
      <b/>
      <u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 vertical="top" wrapText="1" shrinkToFit="1"/>
    </xf>
    <xf numFmtId="0" fontId="3" fillId="0" borderId="0" xfId="0" applyFont="1"/>
    <xf numFmtId="4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 shrinkToFit="1"/>
    </xf>
    <xf numFmtId="0" fontId="1" fillId="0" borderId="3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 shrinkToFit="1"/>
    </xf>
    <xf numFmtId="0" fontId="5" fillId="0" borderId="1" xfId="0" applyFont="1" applyBorder="1"/>
    <xf numFmtId="0" fontId="3" fillId="0" borderId="13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wrapText="1"/>
    </xf>
    <xf numFmtId="0" fontId="3" fillId="0" borderId="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4" fontId="3" fillId="0" borderId="8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/>
    <xf numFmtId="4" fontId="3" fillId="0" borderId="2" xfId="0" applyNumberFormat="1" applyFont="1" applyBorder="1" applyAlignment="1">
      <alignment vertical="top"/>
    </xf>
    <xf numFmtId="4" fontId="3" fillId="0" borderId="0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4" fillId="0" borderId="0" xfId="0" applyNumberFormat="1" applyFont="1"/>
    <xf numFmtId="4" fontId="4" fillId="0" borderId="0" xfId="0" applyNumberFormat="1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4" fillId="0" borderId="0" xfId="0" applyFont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center" wrapText="1"/>
    </xf>
    <xf numFmtId="0" fontId="3" fillId="0" borderId="16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top"/>
    </xf>
    <xf numFmtId="0" fontId="3" fillId="0" borderId="0" xfId="0" applyNumberFormat="1" applyFont="1"/>
    <xf numFmtId="0" fontId="3" fillId="0" borderId="17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3" fillId="0" borderId="18" xfId="0" applyNumberFormat="1" applyFont="1" applyBorder="1" applyAlignment="1">
      <alignment horizontal="center" wrapText="1"/>
    </xf>
    <xf numFmtId="0" fontId="4" fillId="0" borderId="1" xfId="0" applyNumberFormat="1" applyFont="1" applyBorder="1"/>
    <xf numFmtId="0" fontId="3" fillId="0" borderId="19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wrapText="1"/>
    </xf>
    <xf numFmtId="0" fontId="3" fillId="0" borderId="0" xfId="0" applyNumberFormat="1" applyFont="1" applyBorder="1"/>
    <xf numFmtId="0" fontId="3" fillId="0" borderId="5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" xfId="0" applyNumberFormat="1" applyFont="1" applyBorder="1"/>
    <xf numFmtId="0" fontId="3" fillId="0" borderId="0" xfId="0" applyNumberFormat="1" applyFont="1" applyAlignment="1">
      <alignment wrapText="1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27</xdr:row>
      <xdr:rowOff>133350</xdr:rowOff>
    </xdr:from>
    <xdr:to>
      <xdr:col>20</xdr:col>
      <xdr:colOff>86775</xdr:colOff>
      <xdr:row>76</xdr:row>
      <xdr:rowOff>39294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182D0-4994-42E7-899D-4DAC3699C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543425"/>
          <a:ext cx="7525800" cy="8554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0"/>
  <sheetViews>
    <sheetView tabSelected="1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B70" sqref="B70:D75"/>
    </sheetView>
  </sheetViews>
  <sheetFormatPr defaultRowHeight="16.5" x14ac:dyDescent="0.3"/>
  <cols>
    <col min="1" max="1" width="9.140625" style="15"/>
    <col min="2" max="2" width="19.5703125" style="46" bestFit="1" customWidth="1"/>
    <col min="3" max="3" width="14.140625" style="2" customWidth="1"/>
    <col min="4" max="4" width="13.85546875" style="2" bestFit="1" customWidth="1"/>
    <col min="5" max="5" width="17.5703125" style="2" bestFit="1" customWidth="1"/>
    <col min="6" max="6" width="13.85546875" style="2" bestFit="1" customWidth="1"/>
    <col min="7" max="7" width="20.5703125" style="2" customWidth="1"/>
    <col min="8" max="8" width="15.28515625" style="2" bestFit="1" customWidth="1"/>
    <col min="9" max="9" width="13.85546875" style="2" bestFit="1" customWidth="1"/>
    <col min="10" max="10" width="13.140625" style="2" customWidth="1"/>
    <col min="11" max="11" width="14.140625" style="2" customWidth="1"/>
    <col min="12" max="12" width="14.85546875" style="2" customWidth="1"/>
    <col min="13" max="13" width="14.85546875" style="2" bestFit="1" customWidth="1"/>
    <col min="14" max="14" width="13.28515625" style="2" bestFit="1" customWidth="1"/>
    <col min="15" max="16384" width="9.140625" style="2"/>
  </cols>
  <sheetData>
    <row r="1" spans="1:15" x14ac:dyDescent="0.3">
      <c r="B1" s="16" t="s">
        <v>17</v>
      </c>
      <c r="C1" s="2" t="s">
        <v>29</v>
      </c>
    </row>
    <row r="2" spans="1:15" x14ac:dyDescent="0.3">
      <c r="B2" s="17" t="s">
        <v>15</v>
      </c>
      <c r="C2" s="2">
        <f>3640+3211</f>
        <v>6851</v>
      </c>
      <c r="E2" s="1"/>
      <c r="F2" s="1"/>
      <c r="G2" s="18"/>
    </row>
    <row r="3" spans="1:15" x14ac:dyDescent="0.3">
      <c r="B3" s="18" t="s">
        <v>10</v>
      </c>
      <c r="C3" s="5">
        <v>1000</v>
      </c>
      <c r="D3" s="5"/>
      <c r="E3" s="4"/>
      <c r="F3" s="4"/>
      <c r="G3" s="5"/>
    </row>
    <row r="4" spans="1:15" x14ac:dyDescent="0.3">
      <c r="B4" s="19" t="s">
        <v>23</v>
      </c>
      <c r="C4" s="20">
        <f>ROUND((C2*C3),0)</f>
        <v>6851000</v>
      </c>
    </row>
    <row r="5" spans="1:15" x14ac:dyDescent="0.3">
      <c r="B5" s="16" t="s">
        <v>18</v>
      </c>
    </row>
    <row r="6" spans="1:15" s="21" customFormat="1" ht="60.75" thickBot="1" x14ac:dyDescent="0.25">
      <c r="B6" s="9" t="s">
        <v>0</v>
      </c>
      <c r="C6" s="10" t="s">
        <v>3</v>
      </c>
      <c r="D6" s="10" t="s">
        <v>1</v>
      </c>
      <c r="E6" s="10" t="s">
        <v>4</v>
      </c>
      <c r="F6" s="10" t="s">
        <v>5</v>
      </c>
      <c r="G6" s="11" t="s">
        <v>9</v>
      </c>
      <c r="H6" s="1" t="s">
        <v>2</v>
      </c>
      <c r="I6" s="22" t="s">
        <v>6</v>
      </c>
      <c r="J6" s="22" t="s">
        <v>7</v>
      </c>
      <c r="K6" s="1" t="s">
        <v>21</v>
      </c>
      <c r="L6" s="1" t="s">
        <v>22</v>
      </c>
      <c r="M6" s="1" t="s">
        <v>8</v>
      </c>
    </row>
    <row r="7" spans="1:15" ht="17.25" thickBot="1" x14ac:dyDescent="0.35">
      <c r="B7" s="23" t="s">
        <v>30</v>
      </c>
      <c r="C7" s="24">
        <v>46.953000000000003</v>
      </c>
      <c r="D7" s="12">
        <v>1989</v>
      </c>
      <c r="E7" s="12">
        <v>2024</v>
      </c>
      <c r="F7" s="12">
        <v>60</v>
      </c>
      <c r="G7" s="25">
        <v>12000</v>
      </c>
      <c r="H7" s="26">
        <f>E7-D7</f>
        <v>35</v>
      </c>
      <c r="I7" s="27">
        <f>IF(H7&gt;=5,90*H7/F7,0)</f>
        <v>52.5</v>
      </c>
      <c r="J7" s="5">
        <f>G7/100*I7</f>
        <v>6300</v>
      </c>
      <c r="K7" s="5">
        <f>ROUND((G7-J7),0)</f>
        <v>5700</v>
      </c>
      <c r="L7" s="5">
        <f>ROUND((K7*C7),0)</f>
        <v>267632</v>
      </c>
      <c r="M7" s="5">
        <f>ROUND((C7*G7),0)</f>
        <v>563436</v>
      </c>
    </row>
    <row r="8" spans="1:15" ht="17.25" thickBot="1" x14ac:dyDescent="0.35">
      <c r="A8" s="21"/>
      <c r="B8" s="23" t="s">
        <v>31</v>
      </c>
      <c r="C8" s="28">
        <v>42.168999999999997</v>
      </c>
      <c r="D8" s="12">
        <v>1989</v>
      </c>
      <c r="E8" s="12">
        <v>2024</v>
      </c>
      <c r="F8" s="12">
        <v>60</v>
      </c>
      <c r="G8" s="25">
        <v>18000</v>
      </c>
      <c r="H8" s="26">
        <f t="shared" ref="H8:H12" si="0">E8-D8</f>
        <v>35</v>
      </c>
      <c r="I8" s="27">
        <f>IF(H8&gt;=5,90*H8/F8,0)</f>
        <v>52.5</v>
      </c>
      <c r="J8" s="5">
        <f>G8/100*I8</f>
        <v>9450</v>
      </c>
      <c r="K8" s="5">
        <f>ROUND((G8-J8),0)</f>
        <v>8550</v>
      </c>
      <c r="L8" s="5">
        <f>ROUND((K8*C8),0)</f>
        <v>360545</v>
      </c>
      <c r="M8" s="5">
        <f>ROUND((C8*G8),0)</f>
        <v>759042</v>
      </c>
    </row>
    <row r="9" spans="1:15" s="29" customFormat="1" ht="17.25" customHeight="1" thickBot="1" x14ac:dyDescent="0.35">
      <c r="A9" s="15"/>
      <c r="B9" s="23" t="s">
        <v>32</v>
      </c>
      <c r="C9" s="28">
        <v>11.84</v>
      </c>
      <c r="D9" s="12">
        <v>1989</v>
      </c>
      <c r="E9" s="12">
        <v>2024</v>
      </c>
      <c r="F9" s="12">
        <v>60</v>
      </c>
      <c r="G9" s="25">
        <v>12000</v>
      </c>
      <c r="H9" s="26">
        <f t="shared" si="0"/>
        <v>35</v>
      </c>
      <c r="I9" s="27">
        <f>IF(H9&gt;=5,90*H9/F9,0)</f>
        <v>52.5</v>
      </c>
      <c r="J9" s="5">
        <f>G9/100*I9</f>
        <v>6300</v>
      </c>
      <c r="K9" s="5">
        <f>ROUND((G9-J9),0)</f>
        <v>5700</v>
      </c>
      <c r="L9" s="5">
        <f>ROUND((K9*C9),0)</f>
        <v>67488</v>
      </c>
      <c r="M9" s="5">
        <f>ROUND((C9*G9),0)</f>
        <v>142080</v>
      </c>
      <c r="N9" s="27"/>
      <c r="O9" s="2"/>
    </row>
    <row r="10" spans="1:15" ht="33.75" thickBot="1" x14ac:dyDescent="0.35">
      <c r="A10" s="21"/>
      <c r="B10" s="30" t="s">
        <v>33</v>
      </c>
      <c r="C10" s="28">
        <v>21.352</v>
      </c>
      <c r="D10" s="12">
        <v>1989</v>
      </c>
      <c r="E10" s="12">
        <v>2024</v>
      </c>
      <c r="F10" s="12">
        <v>60</v>
      </c>
      <c r="G10" s="25">
        <v>12000</v>
      </c>
      <c r="H10" s="26">
        <f t="shared" si="0"/>
        <v>35</v>
      </c>
      <c r="I10" s="27">
        <f>IF(H10&gt;=5,90*H10/F10,0)</f>
        <v>52.5</v>
      </c>
      <c r="J10" s="5">
        <f>G10/100*I10</f>
        <v>6300</v>
      </c>
      <c r="K10" s="5">
        <f>ROUND((G10-J10),0)</f>
        <v>5700</v>
      </c>
      <c r="L10" s="5">
        <f>ROUND((K10*C10),0)</f>
        <v>121706</v>
      </c>
      <c r="M10" s="5">
        <f>ROUND((C10*G10),0)</f>
        <v>256224</v>
      </c>
      <c r="N10" s="31"/>
    </row>
    <row r="11" spans="1:15" ht="33.75" thickBot="1" x14ac:dyDescent="0.35">
      <c r="B11" s="30" t="s">
        <v>34</v>
      </c>
      <c r="C11" s="28">
        <v>295.935</v>
      </c>
      <c r="D11" s="12">
        <v>1989</v>
      </c>
      <c r="E11" s="12">
        <v>2024</v>
      </c>
      <c r="F11" s="12">
        <v>60</v>
      </c>
      <c r="G11" s="25">
        <v>18000</v>
      </c>
      <c r="H11" s="26">
        <f t="shared" si="0"/>
        <v>35</v>
      </c>
      <c r="I11" s="27">
        <f>IF(H11&gt;=5,90*H11/F11,0)</f>
        <v>52.5</v>
      </c>
      <c r="J11" s="5">
        <f>G11/100*I11</f>
        <v>9450</v>
      </c>
      <c r="K11" s="5">
        <f>ROUND((G11-J11),0)</f>
        <v>8550</v>
      </c>
      <c r="L11" s="5">
        <f>ROUND((K11*C11),0)</f>
        <v>2530244</v>
      </c>
      <c r="M11" s="5">
        <f>ROUND((C11*G11),0)</f>
        <v>5326830</v>
      </c>
      <c r="N11" s="31"/>
    </row>
    <row r="12" spans="1:15" ht="17.25" thickBot="1" x14ac:dyDescent="0.35">
      <c r="B12" s="30" t="s">
        <v>35</v>
      </c>
      <c r="C12" s="28">
        <v>9.4149999999999991</v>
      </c>
      <c r="D12" s="12">
        <v>1989</v>
      </c>
      <c r="E12" s="12">
        <v>2024</v>
      </c>
      <c r="F12" s="12">
        <v>60</v>
      </c>
      <c r="G12" s="25">
        <v>12000</v>
      </c>
      <c r="H12" s="26">
        <f t="shared" si="0"/>
        <v>35</v>
      </c>
      <c r="I12" s="27">
        <f>IF(H12&gt;=5,90*H12/F12,0)</f>
        <v>52.5</v>
      </c>
      <c r="J12" s="5">
        <f>G12/100*I12</f>
        <v>6300</v>
      </c>
      <c r="K12" s="5">
        <f>ROUND((G12-J12),0)</f>
        <v>5700</v>
      </c>
      <c r="L12" s="5">
        <f>ROUND((K12*C12),0)</f>
        <v>53666</v>
      </c>
      <c r="M12" s="5">
        <f>ROUND((C12*G12),0)</f>
        <v>112980</v>
      </c>
      <c r="N12" s="31"/>
    </row>
    <row r="13" spans="1:15" ht="17.25" thickBot="1" x14ac:dyDescent="0.35">
      <c r="A13" s="21"/>
      <c r="B13" s="30" t="s">
        <v>36</v>
      </c>
      <c r="C13" s="32">
        <v>16.218</v>
      </c>
      <c r="D13" s="12">
        <v>1989</v>
      </c>
      <c r="E13" s="12">
        <v>2024</v>
      </c>
      <c r="F13" s="12">
        <v>60</v>
      </c>
      <c r="G13" s="25">
        <v>12000</v>
      </c>
      <c r="H13" s="26">
        <f t="shared" ref="H13:H14" si="1">E13-D13</f>
        <v>35</v>
      </c>
      <c r="I13" s="27">
        <f>IF(H13&gt;=5,90*H13/F13,0)</f>
        <v>52.5</v>
      </c>
      <c r="J13" s="5">
        <f>G13/100*I13</f>
        <v>6300</v>
      </c>
      <c r="K13" s="5">
        <f>ROUND((G13-J13),0)</f>
        <v>5700</v>
      </c>
      <c r="L13" s="5">
        <f>ROUND((K13*C13),0)</f>
        <v>92443</v>
      </c>
      <c r="M13" s="5">
        <f>ROUND((C13*G13),0)</f>
        <v>194616</v>
      </c>
      <c r="N13" s="31"/>
    </row>
    <row r="14" spans="1:15" ht="17.25" thickBot="1" x14ac:dyDescent="0.35">
      <c r="A14" s="21"/>
      <c r="B14" s="30" t="s">
        <v>37</v>
      </c>
      <c r="C14" s="32">
        <v>198.2</v>
      </c>
      <c r="D14" s="12">
        <v>1989</v>
      </c>
      <c r="E14" s="12">
        <v>2024</v>
      </c>
      <c r="F14" s="12">
        <v>60</v>
      </c>
      <c r="G14" s="25">
        <v>12000</v>
      </c>
      <c r="H14" s="26">
        <f t="shared" si="1"/>
        <v>35</v>
      </c>
      <c r="I14" s="27">
        <f>IF(H14&gt;=5,90*H14/F14,0)</f>
        <v>52.5</v>
      </c>
      <c r="J14" s="5">
        <f>G14/100*I14</f>
        <v>6300</v>
      </c>
      <c r="K14" s="5">
        <f>ROUND((G14-J14),0)</f>
        <v>5700</v>
      </c>
      <c r="L14" s="5">
        <f>ROUND((K14*C14),0)</f>
        <v>1129740</v>
      </c>
      <c r="M14" s="5">
        <f>ROUND((C14*G14),0)</f>
        <v>2378400</v>
      </c>
      <c r="N14" s="31"/>
    </row>
    <row r="15" spans="1:15" x14ac:dyDescent="0.3">
      <c r="B15" s="30" t="s">
        <v>38</v>
      </c>
      <c r="C15" s="32">
        <v>287.52499999999998</v>
      </c>
      <c r="D15" s="12">
        <v>1989</v>
      </c>
      <c r="E15" s="12">
        <v>2024</v>
      </c>
      <c r="F15" s="12">
        <v>60</v>
      </c>
      <c r="G15" s="25">
        <v>12000</v>
      </c>
      <c r="H15" s="26">
        <f t="shared" ref="H15:H26" si="2">E15-D15</f>
        <v>35</v>
      </c>
      <c r="I15" s="27">
        <f>IF(H15&gt;=5,90*H15/F15,0)</f>
        <v>52.5</v>
      </c>
      <c r="J15" s="5">
        <f>G15/100*I15</f>
        <v>6300</v>
      </c>
      <c r="K15" s="5">
        <f>ROUND((G15-J15),0)</f>
        <v>5700</v>
      </c>
      <c r="L15" s="5">
        <f>ROUND((K15*C15),0)</f>
        <v>1638893</v>
      </c>
      <c r="M15" s="5">
        <f>ROUND((C15*G15),0)</f>
        <v>3450300</v>
      </c>
      <c r="N15" s="31"/>
    </row>
    <row r="16" spans="1:15" hidden="1" x14ac:dyDescent="0.3">
      <c r="A16" s="21"/>
      <c r="B16" s="30"/>
      <c r="C16" s="32">
        <v>0</v>
      </c>
      <c r="D16" s="12">
        <v>0</v>
      </c>
      <c r="E16" s="12">
        <v>2024</v>
      </c>
      <c r="F16" s="12">
        <v>60</v>
      </c>
      <c r="G16" s="25">
        <v>0</v>
      </c>
      <c r="H16" s="26">
        <f t="shared" si="2"/>
        <v>2024</v>
      </c>
      <c r="I16" s="27">
        <f>IF(H16&gt;=5,90*H16/F16,0)</f>
        <v>3036</v>
      </c>
      <c r="J16" s="5">
        <f>G16/100*I16</f>
        <v>0</v>
      </c>
      <c r="K16" s="5">
        <f>ROUND((G16-J16),0)</f>
        <v>0</v>
      </c>
      <c r="L16" s="5">
        <f>ROUND((K16*C16),0)</f>
        <v>0</v>
      </c>
      <c r="M16" s="5">
        <f>ROUND((C16*G16),0)</f>
        <v>0</v>
      </c>
      <c r="N16" s="31"/>
    </row>
    <row r="17" spans="1:14" ht="17.25" hidden="1" thickBot="1" x14ac:dyDescent="0.35">
      <c r="B17" s="33"/>
      <c r="C17" s="32">
        <v>0</v>
      </c>
      <c r="D17" s="12">
        <v>0</v>
      </c>
      <c r="E17" s="12">
        <v>2020</v>
      </c>
      <c r="F17" s="12">
        <v>60</v>
      </c>
      <c r="G17" s="25">
        <v>0</v>
      </c>
      <c r="H17" s="26">
        <f t="shared" si="2"/>
        <v>2020</v>
      </c>
      <c r="I17" s="27">
        <f>IF(H17&gt;=5,90*H17/F17,0)</f>
        <v>3030</v>
      </c>
      <c r="J17" s="5">
        <f>G17/100*I17</f>
        <v>0</v>
      </c>
      <c r="K17" s="5">
        <f>ROUND((G17-J17),0)</f>
        <v>0</v>
      </c>
      <c r="L17" s="5">
        <f>ROUND((K17*C17),0)</f>
        <v>0</v>
      </c>
      <c r="M17" s="5">
        <f>ROUND((C17*G17),0)</f>
        <v>0</v>
      </c>
      <c r="N17" s="31"/>
    </row>
    <row r="18" spans="1:14" hidden="1" x14ac:dyDescent="0.3">
      <c r="A18" s="21"/>
      <c r="B18" s="34"/>
      <c r="C18" s="32">
        <v>0</v>
      </c>
      <c r="D18" s="12">
        <v>0</v>
      </c>
      <c r="E18" s="12">
        <v>2020</v>
      </c>
      <c r="F18" s="12">
        <v>60</v>
      </c>
      <c r="G18" s="25">
        <v>0</v>
      </c>
      <c r="H18" s="26">
        <f t="shared" si="2"/>
        <v>2020</v>
      </c>
      <c r="I18" s="27">
        <f>IF(H18&gt;=5,90*H18/F18,0)</f>
        <v>3030</v>
      </c>
      <c r="J18" s="5">
        <f>G18/100*I18</f>
        <v>0</v>
      </c>
      <c r="K18" s="5">
        <f>ROUND((G18-J18),0)</f>
        <v>0</v>
      </c>
      <c r="L18" s="5">
        <f>ROUND((K18*C18),0)</f>
        <v>0</v>
      </c>
      <c r="M18" s="5">
        <f>ROUND((C18*G18),0)</f>
        <v>0</v>
      </c>
      <c r="N18" s="31"/>
    </row>
    <row r="19" spans="1:14" ht="17.25" hidden="1" thickBot="1" x14ac:dyDescent="0.35">
      <c r="B19" s="33"/>
      <c r="C19" s="32">
        <v>0</v>
      </c>
      <c r="D19" s="12">
        <v>0</v>
      </c>
      <c r="E19" s="12">
        <v>2020</v>
      </c>
      <c r="F19" s="12">
        <v>60</v>
      </c>
      <c r="G19" s="25">
        <v>0</v>
      </c>
      <c r="H19" s="26">
        <f t="shared" si="2"/>
        <v>2020</v>
      </c>
      <c r="I19" s="27">
        <f>IF(H19&gt;=5,90*H19/F19,0)</f>
        <v>3030</v>
      </c>
      <c r="J19" s="5">
        <f>G19/100*I19</f>
        <v>0</v>
      </c>
      <c r="K19" s="5">
        <f>ROUND((G19-J19),0)</f>
        <v>0</v>
      </c>
      <c r="L19" s="5">
        <f>ROUND((K19*C19),0)</f>
        <v>0</v>
      </c>
      <c r="M19" s="5">
        <f>ROUND((C19*G19),0)</f>
        <v>0</v>
      </c>
      <c r="N19" s="31"/>
    </row>
    <row r="20" spans="1:14" hidden="1" x14ac:dyDescent="0.3">
      <c r="A20" s="21"/>
      <c r="B20" s="34"/>
      <c r="C20" s="32">
        <v>0</v>
      </c>
      <c r="D20" s="12">
        <v>0</v>
      </c>
      <c r="E20" s="12">
        <v>2020</v>
      </c>
      <c r="F20" s="12">
        <v>50</v>
      </c>
      <c r="G20" s="25">
        <v>0</v>
      </c>
      <c r="H20" s="26">
        <f t="shared" si="2"/>
        <v>2020</v>
      </c>
      <c r="I20" s="27">
        <f>IF(H20&gt;=5,90*H20/F20,0)</f>
        <v>3636</v>
      </c>
      <c r="J20" s="5">
        <f>G20/100*I20</f>
        <v>0</v>
      </c>
      <c r="K20" s="5">
        <f>ROUND((G20-J20),0)</f>
        <v>0</v>
      </c>
      <c r="L20" s="5">
        <f>ROUND((K20*C20),0)</f>
        <v>0</v>
      </c>
      <c r="M20" s="5">
        <f>ROUND((C20*G20),0)</f>
        <v>0</v>
      </c>
      <c r="N20" s="31"/>
    </row>
    <row r="21" spans="1:14" ht="17.25" hidden="1" thickBot="1" x14ac:dyDescent="0.35">
      <c r="B21" s="33"/>
      <c r="C21" s="32">
        <v>0</v>
      </c>
      <c r="D21" s="12">
        <v>0</v>
      </c>
      <c r="E21" s="12">
        <v>2020</v>
      </c>
      <c r="F21" s="12">
        <v>50</v>
      </c>
      <c r="G21" s="25">
        <v>0</v>
      </c>
      <c r="H21" s="26">
        <f t="shared" si="2"/>
        <v>2020</v>
      </c>
      <c r="I21" s="27">
        <f>IF(H21&gt;=5,90*H21/F21,0)</f>
        <v>3636</v>
      </c>
      <c r="J21" s="5">
        <f>G21/100*I21</f>
        <v>0</v>
      </c>
      <c r="K21" s="5">
        <f>ROUND((G21-J21),0)</f>
        <v>0</v>
      </c>
      <c r="L21" s="5">
        <f>ROUND((K21*C21),0)</f>
        <v>0</v>
      </c>
      <c r="M21" s="5">
        <f>ROUND((C21*G21),0)</f>
        <v>0</v>
      </c>
      <c r="N21" s="31"/>
    </row>
    <row r="22" spans="1:14" hidden="1" x14ac:dyDescent="0.3">
      <c r="A22" s="21"/>
      <c r="B22" s="34"/>
      <c r="C22" s="32">
        <v>0</v>
      </c>
      <c r="D22" s="12">
        <v>0</v>
      </c>
      <c r="E22" s="12">
        <v>2020</v>
      </c>
      <c r="F22" s="12">
        <v>50</v>
      </c>
      <c r="G22" s="25">
        <v>0</v>
      </c>
      <c r="H22" s="26">
        <f t="shared" si="2"/>
        <v>2020</v>
      </c>
      <c r="I22" s="27">
        <f>IF(H22&gt;=5,90*H22/F22,0)</f>
        <v>3636</v>
      </c>
      <c r="J22" s="5">
        <f>G22/100*I22</f>
        <v>0</v>
      </c>
      <c r="K22" s="5">
        <f>ROUND((G22-J22),0)</f>
        <v>0</v>
      </c>
      <c r="L22" s="5">
        <f>ROUND((K22*C22),0)</f>
        <v>0</v>
      </c>
      <c r="M22" s="5">
        <f>ROUND((C22*G22),0)</f>
        <v>0</v>
      </c>
      <c r="N22" s="31"/>
    </row>
    <row r="23" spans="1:14" ht="17.25" hidden="1" thickBot="1" x14ac:dyDescent="0.35">
      <c r="A23" s="21"/>
      <c r="B23" s="35"/>
      <c r="C23" s="32">
        <v>0</v>
      </c>
      <c r="D23" s="12">
        <v>0</v>
      </c>
      <c r="E23" s="12">
        <v>2020</v>
      </c>
      <c r="F23" s="12">
        <v>50</v>
      </c>
      <c r="G23" s="25">
        <v>0</v>
      </c>
      <c r="H23" s="26">
        <f t="shared" si="2"/>
        <v>2020</v>
      </c>
      <c r="I23" s="27">
        <f>IF(H23&gt;=5,90*H23/F23,0)</f>
        <v>3636</v>
      </c>
      <c r="J23" s="5">
        <f>G23/100*I23</f>
        <v>0</v>
      </c>
      <c r="K23" s="5">
        <f>ROUND((G23-J23),0)</f>
        <v>0</v>
      </c>
      <c r="L23" s="5">
        <f>ROUND((K23*C23),0)</f>
        <v>0</v>
      </c>
      <c r="M23" s="5">
        <f>ROUND((C23*G23),0)</f>
        <v>0</v>
      </c>
      <c r="N23" s="31"/>
    </row>
    <row r="24" spans="1:14" ht="17.25" hidden="1" thickBot="1" x14ac:dyDescent="0.35">
      <c r="B24" s="35"/>
      <c r="C24" s="32">
        <v>0</v>
      </c>
      <c r="D24" s="12">
        <v>0</v>
      </c>
      <c r="E24" s="12">
        <v>2020</v>
      </c>
      <c r="F24" s="12">
        <v>50</v>
      </c>
      <c r="G24" s="25">
        <v>0</v>
      </c>
      <c r="H24" s="26">
        <f t="shared" si="2"/>
        <v>2020</v>
      </c>
      <c r="I24" s="27">
        <f>IF(H24&gt;=5,90*H24/F24,0)</f>
        <v>3636</v>
      </c>
      <c r="J24" s="5">
        <f>G24/100*I24</f>
        <v>0</v>
      </c>
      <c r="K24" s="5">
        <f>ROUND((G24-J24),0)</f>
        <v>0</v>
      </c>
      <c r="L24" s="5">
        <f>ROUND((K24*C24),0)</f>
        <v>0</v>
      </c>
      <c r="M24" s="5">
        <f>ROUND((C24*G24),0)</f>
        <v>0</v>
      </c>
      <c r="N24" s="31"/>
    </row>
    <row r="25" spans="1:14" ht="17.25" hidden="1" thickBot="1" x14ac:dyDescent="0.35">
      <c r="A25" s="21"/>
      <c r="B25" s="35"/>
      <c r="C25" s="32">
        <v>0</v>
      </c>
      <c r="D25" s="12">
        <v>0</v>
      </c>
      <c r="E25" s="12">
        <v>2020</v>
      </c>
      <c r="F25" s="12">
        <v>50</v>
      </c>
      <c r="G25" s="25">
        <v>0</v>
      </c>
      <c r="H25" s="26">
        <f t="shared" si="2"/>
        <v>2020</v>
      </c>
      <c r="I25" s="27">
        <f>IF(H25&gt;=5,90*H25/F25,0)</f>
        <v>3636</v>
      </c>
      <c r="J25" s="5">
        <f>G25/100*I25</f>
        <v>0</v>
      </c>
      <c r="K25" s="5">
        <f>ROUND((G25-J25),0)</f>
        <v>0</v>
      </c>
      <c r="L25" s="5">
        <f>ROUND((K25*C25),0)</f>
        <v>0</v>
      </c>
      <c r="M25" s="5">
        <f>ROUND((C25*G25),0)</f>
        <v>0</v>
      </c>
      <c r="N25" s="31"/>
    </row>
    <row r="26" spans="1:14" ht="17.25" hidden="1" thickBot="1" x14ac:dyDescent="0.35">
      <c r="B26" s="35"/>
      <c r="C26" s="32">
        <v>0</v>
      </c>
      <c r="D26" s="12">
        <v>0</v>
      </c>
      <c r="E26" s="12">
        <v>2020</v>
      </c>
      <c r="F26" s="12">
        <v>50</v>
      </c>
      <c r="G26" s="25">
        <v>0</v>
      </c>
      <c r="H26" s="26">
        <f t="shared" si="2"/>
        <v>2020</v>
      </c>
      <c r="I26" s="27">
        <f>IF(H26&gt;=5,90*H26/F26,0)</f>
        <v>3636</v>
      </c>
      <c r="J26" s="5">
        <f>G26/100*I26</f>
        <v>0</v>
      </c>
      <c r="K26" s="5">
        <f>ROUND((G26-J26),0)</f>
        <v>0</v>
      </c>
      <c r="L26" s="5">
        <f>ROUND((K26*C26),0)</f>
        <v>0</v>
      </c>
      <c r="M26" s="5">
        <f>ROUND((C26*G26),0)</f>
        <v>0</v>
      </c>
      <c r="N26" s="31"/>
    </row>
    <row r="27" spans="1:14" x14ac:dyDescent="0.3">
      <c r="B27" s="36"/>
      <c r="C27" s="37"/>
      <c r="D27" s="13"/>
      <c r="E27" s="13"/>
      <c r="F27" s="13"/>
      <c r="G27" s="14"/>
      <c r="H27" s="31"/>
      <c r="I27" s="31"/>
      <c r="J27" s="6"/>
      <c r="K27" s="6"/>
      <c r="L27" s="6">
        <f>SUM(L7:L26)</f>
        <v>6262357</v>
      </c>
      <c r="M27" s="6">
        <f>SUM(M7:M26)</f>
        <v>13183908</v>
      </c>
      <c r="N27" s="31"/>
    </row>
    <row r="28" spans="1:14" x14ac:dyDescent="0.3">
      <c r="B28" s="36"/>
      <c r="C28" s="31"/>
      <c r="D28" s="31"/>
      <c r="E28" s="31"/>
      <c r="F28" s="31"/>
      <c r="G28" s="31" t="s">
        <v>44</v>
      </c>
      <c r="H28" s="31"/>
      <c r="I28" s="31"/>
      <c r="J28" s="6"/>
      <c r="K28" s="6"/>
      <c r="L28" s="6"/>
      <c r="M28" s="6"/>
      <c r="N28" s="31"/>
    </row>
    <row r="29" spans="1:14" x14ac:dyDescent="0.3">
      <c r="B29" s="38" t="s">
        <v>25</v>
      </c>
      <c r="C29" s="38"/>
      <c r="D29" s="31"/>
      <c r="E29" s="31"/>
      <c r="F29" s="31"/>
      <c r="G29" s="61" t="s">
        <v>45</v>
      </c>
      <c r="H29" s="31"/>
      <c r="I29" s="31"/>
      <c r="J29" s="6"/>
      <c r="K29" s="6"/>
      <c r="L29" s="6"/>
      <c r="M29" s="6"/>
      <c r="N29" s="31"/>
    </row>
    <row r="30" spans="1:14" x14ac:dyDescent="0.3">
      <c r="B30" s="17" t="s">
        <v>24</v>
      </c>
      <c r="C30" s="3">
        <v>0</v>
      </c>
      <c r="D30" s="31"/>
      <c r="E30" s="31"/>
      <c r="F30" s="31"/>
      <c r="G30" s="31">
        <v>17</v>
      </c>
      <c r="H30" s="31">
        <v>16.7</v>
      </c>
      <c r="I30" s="31">
        <f>H30*G30</f>
        <v>283.89999999999998</v>
      </c>
      <c r="J30" s="6"/>
      <c r="K30" s="6"/>
      <c r="L30" s="6"/>
      <c r="M30" s="6"/>
      <c r="N30" s="31"/>
    </row>
    <row r="31" spans="1:14" x14ac:dyDescent="0.3">
      <c r="B31" s="18" t="s">
        <v>10</v>
      </c>
      <c r="C31" s="5">
        <v>0</v>
      </c>
      <c r="D31" s="31"/>
      <c r="E31" s="31"/>
      <c r="F31" s="31"/>
      <c r="G31" s="31">
        <v>16.7</v>
      </c>
      <c r="H31" s="31">
        <v>5.8</v>
      </c>
      <c r="I31" s="31">
        <f>H31*G31</f>
        <v>96.86</v>
      </c>
      <c r="J31" s="6"/>
      <c r="K31" s="6"/>
      <c r="L31" s="6"/>
      <c r="M31" s="6"/>
      <c r="N31" s="31"/>
    </row>
    <row r="32" spans="1:14" x14ac:dyDescent="0.3">
      <c r="B32" s="18" t="s">
        <v>11</v>
      </c>
      <c r="C32" s="3">
        <f>ROUND((C30*C31),0)</f>
        <v>0</v>
      </c>
      <c r="D32" s="31"/>
      <c r="E32" s="31"/>
      <c r="F32" s="31"/>
      <c r="G32" s="31">
        <v>12.9</v>
      </c>
      <c r="H32" s="31">
        <v>5.8</v>
      </c>
      <c r="I32" s="31">
        <f>H32*G32</f>
        <v>74.819999999999993</v>
      </c>
      <c r="J32" s="6"/>
      <c r="K32" s="6"/>
      <c r="L32" s="6"/>
      <c r="M32" s="6"/>
      <c r="N32" s="31"/>
    </row>
    <row r="33" spans="2:14" x14ac:dyDescent="0.3">
      <c r="B33" s="36"/>
      <c r="C33" s="31"/>
      <c r="D33" s="31"/>
      <c r="E33" s="31"/>
      <c r="F33" s="31"/>
      <c r="G33" s="31">
        <v>4.5999999999999996</v>
      </c>
      <c r="H33" s="31">
        <v>3.8</v>
      </c>
      <c r="I33" s="31">
        <f>H33*G33</f>
        <v>17.479999999999997</v>
      </c>
      <c r="J33" s="6"/>
      <c r="K33" s="6"/>
      <c r="L33" s="6"/>
      <c r="M33" s="6"/>
      <c r="N33" s="31"/>
    </row>
    <row r="34" spans="2:14" ht="22.5" customHeight="1" x14ac:dyDescent="0.3">
      <c r="B34" s="39" t="s">
        <v>19</v>
      </c>
      <c r="C34" s="40"/>
      <c r="D34" s="31"/>
      <c r="E34" s="31"/>
      <c r="F34" s="31"/>
      <c r="G34" s="31">
        <v>4.5999999999999996</v>
      </c>
      <c r="H34" s="31">
        <v>4</v>
      </c>
      <c r="I34" s="31">
        <f>H34*G34</f>
        <v>18.399999999999999</v>
      </c>
      <c r="J34" s="31"/>
      <c r="K34" s="31"/>
      <c r="L34" s="31"/>
      <c r="M34" s="31"/>
      <c r="N34" s="31"/>
    </row>
    <row r="35" spans="2:14" x14ac:dyDescent="0.3">
      <c r="B35" s="17" t="s">
        <v>15</v>
      </c>
      <c r="C35" s="3">
        <v>0</v>
      </c>
      <c r="E35" s="8"/>
      <c r="F35" s="8"/>
      <c r="G35" s="59">
        <v>4.5999999999999996</v>
      </c>
      <c r="H35" s="60">
        <v>5.4</v>
      </c>
      <c r="I35" s="31">
        <f>H35*G35</f>
        <v>24.84</v>
      </c>
      <c r="K35" s="43"/>
    </row>
    <row r="36" spans="2:14" x14ac:dyDescent="0.3">
      <c r="B36" s="18" t="s">
        <v>10</v>
      </c>
      <c r="C36" s="5">
        <v>0</v>
      </c>
      <c r="D36" s="44"/>
      <c r="E36" s="7"/>
      <c r="F36" s="7"/>
      <c r="G36" s="6">
        <v>4.5999999999999996</v>
      </c>
      <c r="H36" s="60">
        <v>2.6</v>
      </c>
      <c r="I36" s="31">
        <f>H36*G36</f>
        <v>11.959999999999999</v>
      </c>
      <c r="K36" s="43"/>
    </row>
    <row r="37" spans="2:14" x14ac:dyDescent="0.3">
      <c r="B37" s="18" t="s">
        <v>11</v>
      </c>
      <c r="C37" s="3">
        <f>ROUND((C35*C36),0)</f>
        <v>0</v>
      </c>
      <c r="D37" s="42"/>
      <c r="E37" s="42"/>
      <c r="F37" s="43"/>
      <c r="H37" s="42"/>
      <c r="I37" s="31">
        <f>SUM(I30:I36)</f>
        <v>528.26</v>
      </c>
      <c r="K37" s="43"/>
    </row>
    <row r="38" spans="2:14" x14ac:dyDescent="0.3">
      <c r="B38" s="41"/>
      <c r="C38" s="45"/>
      <c r="D38" s="42"/>
      <c r="E38" s="62" t="s">
        <v>40</v>
      </c>
      <c r="F38" s="63"/>
      <c r="G38" s="4"/>
      <c r="H38" s="64"/>
      <c r="I38" s="61">
        <f>I37*10.764</f>
        <v>5686.1906399999998</v>
      </c>
      <c r="K38" s="43"/>
    </row>
    <row r="39" spans="2:14" x14ac:dyDescent="0.3">
      <c r="C39" s="42" t="s">
        <v>27</v>
      </c>
      <c r="D39" s="42" t="s">
        <v>28</v>
      </c>
      <c r="E39" s="65"/>
      <c r="F39" s="66"/>
      <c r="G39" s="67"/>
      <c r="I39" s="68" t="s">
        <v>46</v>
      </c>
      <c r="K39" s="43"/>
    </row>
    <row r="40" spans="2:14" x14ac:dyDescent="0.3">
      <c r="B40" s="46" t="s">
        <v>17</v>
      </c>
      <c r="C40" s="20">
        <f>C4</f>
        <v>6851000</v>
      </c>
      <c r="D40" s="20">
        <f>C40</f>
        <v>6851000</v>
      </c>
      <c r="E40" s="70"/>
      <c r="F40" s="71"/>
      <c r="G40" s="72"/>
      <c r="H40" s="73"/>
      <c r="I40" s="69">
        <f>3054+1042+805</f>
        <v>4901</v>
      </c>
      <c r="K40" s="20"/>
    </row>
    <row r="41" spans="2:14" x14ac:dyDescent="0.3">
      <c r="B41" s="46" t="s">
        <v>18</v>
      </c>
      <c r="C41" s="20">
        <f>L27</f>
        <v>6262357</v>
      </c>
      <c r="D41" s="20">
        <f>C41</f>
        <v>6262357</v>
      </c>
      <c r="E41" s="70"/>
      <c r="F41" s="71"/>
      <c r="G41" s="72"/>
      <c r="H41" s="73" t="s">
        <v>47</v>
      </c>
      <c r="I41" s="69">
        <f>3054+1042</f>
        <v>4096</v>
      </c>
      <c r="K41" s="48"/>
    </row>
    <row r="42" spans="2:14" ht="33" x14ac:dyDescent="0.3">
      <c r="B42" s="46" t="s">
        <v>26</v>
      </c>
      <c r="C42" s="20">
        <f>C32</f>
        <v>0</v>
      </c>
      <c r="D42" s="20">
        <f>C42</f>
        <v>0</v>
      </c>
      <c r="E42" s="70"/>
      <c r="F42" s="71"/>
      <c r="G42" s="72"/>
      <c r="H42" s="73" t="s">
        <v>48</v>
      </c>
      <c r="I42" s="69">
        <f>50.39*10.764</f>
        <v>542.39796000000001</v>
      </c>
      <c r="K42" s="48"/>
    </row>
    <row r="43" spans="2:14" x14ac:dyDescent="0.3">
      <c r="B43" s="46" t="s">
        <v>16</v>
      </c>
      <c r="C43" s="20">
        <f>C37</f>
        <v>0</v>
      </c>
      <c r="D43" s="20">
        <f>C43</f>
        <v>0</v>
      </c>
      <c r="E43" s="74"/>
      <c r="F43" s="75"/>
      <c r="G43" s="76"/>
      <c r="H43" s="73" t="s">
        <v>49</v>
      </c>
      <c r="I43" s="77"/>
      <c r="J43" s="7"/>
      <c r="K43" s="49"/>
      <c r="L43" s="7"/>
      <c r="M43" s="7"/>
      <c r="N43" s="7"/>
    </row>
    <row r="44" spans="2:14" ht="18" customHeight="1" x14ac:dyDescent="0.3">
      <c r="B44" s="16" t="s">
        <v>12</v>
      </c>
      <c r="C44" s="48">
        <f>C40+C41+C42+C43</f>
        <v>13113357</v>
      </c>
      <c r="D44" s="45">
        <f>C44</f>
        <v>13113357</v>
      </c>
      <c r="E44" s="78"/>
      <c r="F44" s="79"/>
      <c r="G44" s="80"/>
      <c r="H44" s="81" t="s">
        <v>50</v>
      </c>
      <c r="I44" s="77">
        <f>6.6*5.5</f>
        <v>36.299999999999997</v>
      </c>
      <c r="J44" s="7">
        <f>I44*10.764</f>
        <v>390.73319999999995</v>
      </c>
      <c r="K44" s="7"/>
      <c r="L44" s="7"/>
      <c r="M44" s="7"/>
      <c r="N44" s="7"/>
    </row>
    <row r="45" spans="2:14" x14ac:dyDescent="0.3">
      <c r="B45" s="16" t="s">
        <v>13</v>
      </c>
      <c r="C45" s="48">
        <f>ROUND((C44*0.9),0)</f>
        <v>11802021</v>
      </c>
      <c r="D45" s="48">
        <f>ROUND((D44*0.85),0)</f>
        <v>11146353</v>
      </c>
      <c r="E45" s="82"/>
      <c r="F45" s="82"/>
      <c r="G45" s="82"/>
      <c r="H45" s="77" t="s">
        <v>51</v>
      </c>
      <c r="I45" s="77">
        <f>3.7*5.5*2</f>
        <v>40.700000000000003</v>
      </c>
      <c r="J45" s="7">
        <f t="shared" ref="J45:J55" si="3">I45*10.764</f>
        <v>438.09480000000002</v>
      </c>
      <c r="K45" s="7"/>
      <c r="L45" s="7"/>
      <c r="M45" s="7"/>
      <c r="N45" s="7"/>
    </row>
    <row r="46" spans="2:14" ht="16.5" hidden="1" customHeight="1" x14ac:dyDescent="0.3">
      <c r="B46" s="46" t="s">
        <v>11</v>
      </c>
      <c r="C46" s="20">
        <f>C44*0.8</f>
        <v>10490685.600000001</v>
      </c>
      <c r="D46" s="50"/>
      <c r="E46" s="46"/>
      <c r="F46" s="46"/>
      <c r="G46" s="46"/>
      <c r="H46" s="7"/>
      <c r="I46" s="7"/>
      <c r="J46" s="7">
        <f t="shared" si="3"/>
        <v>0</v>
      </c>
      <c r="K46" s="7"/>
      <c r="L46" s="7"/>
      <c r="M46" s="7"/>
      <c r="N46" s="7"/>
    </row>
    <row r="47" spans="2:14" ht="16.5" hidden="1" customHeight="1" x14ac:dyDescent="0.3">
      <c r="B47" s="16"/>
      <c r="C47" s="20">
        <f>ROUNDUP(C46,0)</f>
        <v>10490686</v>
      </c>
      <c r="D47" s="50"/>
      <c r="E47" s="46"/>
      <c r="F47" s="46"/>
      <c r="G47" s="46"/>
      <c r="H47" s="7"/>
      <c r="I47" s="7"/>
      <c r="J47" s="7">
        <f t="shared" si="3"/>
        <v>0</v>
      </c>
      <c r="K47" s="7"/>
      <c r="L47" s="7"/>
      <c r="M47" s="7"/>
      <c r="N47" s="7"/>
    </row>
    <row r="48" spans="2:14" ht="16.5" hidden="1" customHeight="1" x14ac:dyDescent="0.3">
      <c r="B48" s="16"/>
      <c r="C48" s="20">
        <f>C47-C46</f>
        <v>0.39999999850988388</v>
      </c>
      <c r="D48" s="50"/>
      <c r="E48" s="46"/>
      <c r="F48" s="46"/>
      <c r="G48" s="46"/>
      <c r="H48" s="7"/>
      <c r="I48" s="7"/>
      <c r="J48" s="7">
        <f t="shared" si="3"/>
        <v>0</v>
      </c>
      <c r="K48" s="7"/>
      <c r="L48" s="7"/>
      <c r="M48" s="7"/>
      <c r="N48" s="7"/>
    </row>
    <row r="49" spans="2:14" x14ac:dyDescent="0.3">
      <c r="B49" s="16" t="s">
        <v>14</v>
      </c>
      <c r="C49" s="48">
        <f>ROUND((C44*0.8),0)</f>
        <v>10490686</v>
      </c>
      <c r="D49" s="48">
        <f>ROUND((D44*0.7),0)</f>
        <v>9179350</v>
      </c>
      <c r="E49" s="51"/>
      <c r="F49" s="52"/>
      <c r="G49" s="51"/>
      <c r="H49" s="50" t="s">
        <v>52</v>
      </c>
      <c r="I49" s="7">
        <f>3*5.5</f>
        <v>16.5</v>
      </c>
      <c r="J49" s="7">
        <f t="shared" si="3"/>
        <v>177.60599999999999</v>
      </c>
      <c r="K49" s="7"/>
      <c r="L49" s="7"/>
      <c r="M49" s="7"/>
      <c r="N49" s="7"/>
    </row>
    <row r="50" spans="2:14" ht="16.5" hidden="1" customHeight="1" x14ac:dyDescent="0.3">
      <c r="B50" s="2" t="s">
        <v>11</v>
      </c>
      <c r="C50" s="48" t="e">
        <f>#REF!</f>
        <v>#REF!</v>
      </c>
      <c r="D50" s="50"/>
      <c r="E50" s="51"/>
      <c r="F50" s="52"/>
      <c r="G50" s="51"/>
      <c r="H50" s="7"/>
      <c r="I50" s="7"/>
      <c r="J50" s="7">
        <f t="shared" si="3"/>
        <v>0</v>
      </c>
      <c r="K50" s="7"/>
      <c r="L50" s="7"/>
      <c r="M50" s="7"/>
      <c r="N50" s="7"/>
    </row>
    <row r="51" spans="2:14" ht="16.5" hidden="1" customHeight="1" x14ac:dyDescent="0.3">
      <c r="C51" s="20" t="e">
        <f>ROUNDUP(C50,0)</f>
        <v>#REF!</v>
      </c>
      <c r="D51" s="50"/>
      <c r="E51" s="51"/>
      <c r="F51" s="51"/>
      <c r="G51" s="51"/>
      <c r="H51" s="7"/>
      <c r="I51" s="7"/>
      <c r="J51" s="7">
        <f t="shared" si="3"/>
        <v>0</v>
      </c>
      <c r="K51" s="7"/>
      <c r="L51" s="7"/>
      <c r="M51" s="7"/>
      <c r="N51" s="7"/>
    </row>
    <row r="52" spans="2:14" ht="16.5" hidden="1" customHeight="1" x14ac:dyDescent="0.3">
      <c r="C52" s="20" t="e">
        <f>C51-C50</f>
        <v>#REF!</v>
      </c>
      <c r="D52" s="50"/>
      <c r="E52" s="51"/>
      <c r="F52" s="51"/>
      <c r="G52" s="51"/>
      <c r="H52" s="7"/>
      <c r="I52" s="7"/>
      <c r="J52" s="7">
        <f t="shared" si="3"/>
        <v>0</v>
      </c>
      <c r="K52" s="7"/>
      <c r="L52" s="7"/>
      <c r="M52" s="7"/>
      <c r="N52" s="7"/>
    </row>
    <row r="53" spans="2:14" x14ac:dyDescent="0.3">
      <c r="B53" s="16" t="s">
        <v>20</v>
      </c>
      <c r="C53" s="48">
        <f>C41*85%</f>
        <v>5323003.45</v>
      </c>
      <c r="D53" s="50">
        <f>C53</f>
        <v>5323003.45</v>
      </c>
      <c r="E53" s="51"/>
      <c r="F53" s="51"/>
      <c r="G53" s="51"/>
      <c r="H53" s="7" t="s">
        <v>53</v>
      </c>
      <c r="I53" s="7">
        <f>4.3*5.5</f>
        <v>23.65</v>
      </c>
      <c r="J53" s="7">
        <f t="shared" si="3"/>
        <v>254.56859999999998</v>
      </c>
      <c r="K53" s="7"/>
      <c r="L53" s="7"/>
      <c r="M53" s="53"/>
      <c r="N53" s="7"/>
    </row>
    <row r="54" spans="2:14" x14ac:dyDescent="0.3">
      <c r="E54" s="7"/>
      <c r="F54" s="7"/>
      <c r="G54" s="7"/>
      <c r="H54" s="7" t="s">
        <v>54</v>
      </c>
      <c r="I54" s="7">
        <f>3.5*5.5</f>
        <v>19.25</v>
      </c>
      <c r="J54" s="7">
        <f t="shared" si="3"/>
        <v>207.20699999999999</v>
      </c>
      <c r="K54" s="7"/>
      <c r="L54" s="7"/>
      <c r="M54" s="53"/>
      <c r="N54" s="7"/>
    </row>
    <row r="55" spans="2:14" x14ac:dyDescent="0.3">
      <c r="E55" s="7"/>
      <c r="F55" s="7"/>
      <c r="G55" s="7"/>
      <c r="H55" s="7" t="s">
        <v>55</v>
      </c>
      <c r="I55" s="7">
        <f>12.8*5.5</f>
        <v>70.400000000000006</v>
      </c>
      <c r="J55" s="7">
        <f t="shared" si="3"/>
        <v>757.78560000000004</v>
      </c>
      <c r="K55" s="7"/>
      <c r="L55" s="7"/>
      <c r="M55" s="53"/>
      <c r="N55" s="7"/>
    </row>
    <row r="56" spans="2:14" x14ac:dyDescent="0.3">
      <c r="B56" s="54" t="s">
        <v>39</v>
      </c>
      <c r="C56" s="54"/>
      <c r="E56" s="7"/>
      <c r="F56" s="7"/>
      <c r="G56" s="7"/>
      <c r="H56" s="7"/>
      <c r="I56" s="83" t="s">
        <v>56</v>
      </c>
      <c r="J56" s="83">
        <f>SUM(J44:J55)</f>
        <v>2225.9952000000003</v>
      </c>
      <c r="K56" s="55"/>
      <c r="L56" s="7"/>
      <c r="M56" s="53"/>
      <c r="N56" s="7"/>
    </row>
    <row r="57" spans="2:14" x14ac:dyDescent="0.3">
      <c r="E57" s="7"/>
      <c r="F57" s="7"/>
      <c r="G57" s="7"/>
      <c r="H57" s="7" t="s">
        <v>57</v>
      </c>
      <c r="I57" s="7">
        <f>7.6*7.6</f>
        <v>57.76</v>
      </c>
      <c r="J57" s="7"/>
      <c r="K57" s="55"/>
      <c r="L57" s="7"/>
      <c r="M57" s="53"/>
      <c r="N57" s="7"/>
    </row>
    <row r="58" spans="2:14" x14ac:dyDescent="0.3">
      <c r="B58" s="56" t="s">
        <v>40</v>
      </c>
      <c r="E58" s="7"/>
      <c r="F58" s="7"/>
      <c r="G58" s="7"/>
      <c r="H58" s="7"/>
      <c r="I58" s="7">
        <f>11*8.3</f>
        <v>91.300000000000011</v>
      </c>
      <c r="J58" s="7"/>
      <c r="K58" s="7"/>
      <c r="L58" s="7"/>
      <c r="M58" s="7"/>
      <c r="N58" s="7"/>
    </row>
    <row r="59" spans="2:14" x14ac:dyDescent="0.3">
      <c r="B59" s="47" t="s">
        <v>41</v>
      </c>
      <c r="C59" s="47"/>
      <c r="D59" s="47"/>
      <c r="E59" s="7"/>
      <c r="F59" s="7"/>
      <c r="G59" s="7"/>
      <c r="H59" s="7"/>
      <c r="I59" s="83">
        <f>I58+I57</f>
        <v>149.06</v>
      </c>
      <c r="J59" s="83">
        <f>I59*10.764</f>
        <v>1604.4818399999999</v>
      </c>
      <c r="K59" s="7"/>
      <c r="L59" s="7"/>
      <c r="M59" s="7"/>
      <c r="N59" s="7"/>
    </row>
    <row r="60" spans="2:14" ht="16.5" customHeight="1" x14ac:dyDescent="0.3">
      <c r="B60" s="47"/>
      <c r="C60" s="47"/>
      <c r="D60" s="47"/>
      <c r="E60" s="7"/>
      <c r="F60" s="7"/>
      <c r="G60" s="7"/>
      <c r="H60" s="7" t="s">
        <v>58</v>
      </c>
      <c r="I60" s="7">
        <f>9.7*5.5</f>
        <v>53.349999999999994</v>
      </c>
      <c r="J60" s="7">
        <f>I60*10.764</f>
        <v>574.25939999999991</v>
      </c>
      <c r="K60" s="7"/>
      <c r="L60" s="7"/>
      <c r="M60" s="7"/>
      <c r="N60" s="7"/>
    </row>
    <row r="61" spans="2:14" x14ac:dyDescent="0.3">
      <c r="B61" s="47"/>
      <c r="C61" s="47"/>
      <c r="D61" s="47"/>
      <c r="E61" s="7"/>
      <c r="F61" s="7"/>
      <c r="G61" s="7"/>
      <c r="H61" s="7" t="s">
        <v>59</v>
      </c>
      <c r="I61" s="7">
        <f>7.7*2.9</f>
        <v>22.33</v>
      </c>
      <c r="J61" s="7">
        <f t="shared" ref="J61:J66" si="4">I61*10.764</f>
        <v>240.36011999999997</v>
      </c>
      <c r="K61" s="7"/>
      <c r="L61" s="7"/>
      <c r="M61" s="7"/>
      <c r="N61" s="7"/>
    </row>
    <row r="62" spans="2:14" x14ac:dyDescent="0.3">
      <c r="B62" s="47"/>
      <c r="C62" s="47"/>
      <c r="D62" s="47"/>
      <c r="E62" s="7"/>
      <c r="F62" s="7"/>
      <c r="G62" s="7"/>
      <c r="H62" s="7" t="s">
        <v>60</v>
      </c>
      <c r="I62" s="7">
        <f>3.3*2.5</f>
        <v>8.25</v>
      </c>
      <c r="J62" s="7">
        <f t="shared" si="4"/>
        <v>88.802999999999997</v>
      </c>
      <c r="K62" s="7"/>
      <c r="L62" s="7"/>
      <c r="M62" s="7"/>
      <c r="N62" s="7"/>
    </row>
    <row r="63" spans="2:14" x14ac:dyDescent="0.3">
      <c r="B63" s="47"/>
      <c r="C63" s="47"/>
      <c r="D63" s="47"/>
      <c r="E63" s="7"/>
      <c r="F63" s="7"/>
      <c r="G63" s="7"/>
      <c r="H63" s="7" t="s">
        <v>62</v>
      </c>
      <c r="I63" s="7">
        <f>5.7*8.9</f>
        <v>50.730000000000004</v>
      </c>
      <c r="J63" s="7">
        <f t="shared" si="4"/>
        <v>546.05772000000002</v>
      </c>
      <c r="K63" s="7"/>
      <c r="L63" s="7"/>
      <c r="M63" s="7"/>
      <c r="N63" s="7"/>
    </row>
    <row r="64" spans="2:14" ht="16.5" customHeight="1" x14ac:dyDescent="0.3">
      <c r="B64" s="47" t="s">
        <v>43</v>
      </c>
      <c r="C64" s="47"/>
      <c r="D64" s="47"/>
      <c r="E64" s="7"/>
      <c r="F64" s="57"/>
      <c r="G64" s="57"/>
      <c r="H64" s="7" t="s">
        <v>61</v>
      </c>
      <c r="I64" s="7">
        <f>5.7*5.8</f>
        <v>33.06</v>
      </c>
      <c r="J64" s="7">
        <f t="shared" si="4"/>
        <v>355.85784000000001</v>
      </c>
      <c r="K64" s="7"/>
      <c r="L64" s="7"/>
      <c r="M64" s="7"/>
      <c r="N64" s="7"/>
    </row>
    <row r="65" spans="2:14" ht="16.5" customHeight="1" x14ac:dyDescent="0.3">
      <c r="B65" s="47"/>
      <c r="C65" s="47"/>
      <c r="D65" s="47"/>
      <c r="E65" s="7"/>
      <c r="F65" s="53"/>
      <c r="G65" s="7"/>
      <c r="H65" s="53"/>
      <c r="I65" s="7"/>
      <c r="J65" s="7">
        <f t="shared" si="4"/>
        <v>0</v>
      </c>
      <c r="K65" s="7"/>
      <c r="L65" s="7"/>
      <c r="M65" s="7"/>
      <c r="N65" s="7"/>
    </row>
    <row r="66" spans="2:14" x14ac:dyDescent="0.3">
      <c r="B66" s="47"/>
      <c r="C66" s="47"/>
      <c r="D66" s="47"/>
      <c r="E66" s="7"/>
      <c r="F66" s="53"/>
      <c r="G66" s="53"/>
      <c r="H66" s="53"/>
      <c r="I66" s="7"/>
      <c r="J66" s="7">
        <f t="shared" si="4"/>
        <v>0</v>
      </c>
      <c r="K66" s="7"/>
      <c r="L66" s="7"/>
      <c r="M66" s="7"/>
      <c r="N66" s="7"/>
    </row>
    <row r="67" spans="2:14" x14ac:dyDescent="0.3">
      <c r="B67" s="47"/>
      <c r="C67" s="47"/>
      <c r="D67" s="47"/>
      <c r="E67" s="7"/>
      <c r="F67" s="53"/>
      <c r="G67" s="53"/>
      <c r="H67" s="53"/>
      <c r="I67" s="7"/>
      <c r="J67" s="7"/>
      <c r="K67" s="7"/>
      <c r="L67" s="7"/>
      <c r="M67" s="7"/>
      <c r="N67" s="7"/>
    </row>
    <row r="68" spans="2:14" x14ac:dyDescent="0.3">
      <c r="B68" s="47"/>
      <c r="C68" s="47"/>
      <c r="D68" s="47"/>
      <c r="E68" s="7"/>
      <c r="F68" s="53"/>
      <c r="G68" s="58"/>
      <c r="H68" s="53"/>
      <c r="I68" s="7"/>
      <c r="J68" s="7"/>
      <c r="K68" s="7"/>
      <c r="L68" s="7"/>
      <c r="M68" s="7"/>
      <c r="N68" s="7"/>
    </row>
    <row r="69" spans="2:14" x14ac:dyDescent="0.3">
      <c r="B69" s="47"/>
      <c r="C69" s="47"/>
      <c r="D69" s="47"/>
      <c r="E69" s="7"/>
      <c r="F69" s="53"/>
      <c r="G69" s="53"/>
      <c r="H69" s="53"/>
      <c r="I69" s="7"/>
      <c r="J69" s="7"/>
      <c r="K69" s="7"/>
      <c r="L69" s="7"/>
      <c r="M69" s="7"/>
      <c r="N69" s="7"/>
    </row>
    <row r="70" spans="2:14" x14ac:dyDescent="0.3">
      <c r="B70" s="47" t="s">
        <v>42</v>
      </c>
      <c r="C70" s="47"/>
      <c r="D70" s="47"/>
      <c r="E70" s="7"/>
      <c r="F70" s="53"/>
      <c r="G70" s="53"/>
      <c r="H70" s="53"/>
      <c r="I70" s="7"/>
      <c r="J70" s="7"/>
      <c r="K70" s="7"/>
      <c r="L70" s="7"/>
      <c r="M70" s="7"/>
      <c r="N70" s="7"/>
    </row>
    <row r="71" spans="2:14" x14ac:dyDescent="0.3">
      <c r="B71" s="47"/>
      <c r="C71" s="47"/>
      <c r="D71" s="47"/>
      <c r="E71" s="7"/>
      <c r="F71" s="53"/>
      <c r="G71" s="53"/>
      <c r="H71" s="53"/>
      <c r="I71" s="7"/>
      <c r="J71" s="7"/>
      <c r="K71" s="7"/>
      <c r="L71" s="7"/>
      <c r="M71" s="7"/>
      <c r="N71" s="7"/>
    </row>
    <row r="72" spans="2:14" ht="13.5" customHeight="1" x14ac:dyDescent="0.3">
      <c r="B72" s="47"/>
      <c r="C72" s="47"/>
      <c r="D72" s="47"/>
      <c r="E72" s="7"/>
      <c r="F72" s="53"/>
      <c r="G72" s="53"/>
      <c r="H72" s="53"/>
      <c r="I72" s="7"/>
      <c r="J72" s="7"/>
      <c r="K72" s="7"/>
      <c r="L72" s="7"/>
      <c r="M72" s="7"/>
      <c r="N72" s="7"/>
    </row>
    <row r="73" spans="2:14" hidden="1" x14ac:dyDescent="0.3">
      <c r="B73" s="47"/>
      <c r="C73" s="47"/>
      <c r="D73" s="47"/>
      <c r="E73" s="7"/>
      <c r="F73" s="53"/>
      <c r="G73" s="53"/>
      <c r="H73" s="53"/>
      <c r="I73" s="7"/>
      <c r="J73" s="7"/>
      <c r="K73" s="7"/>
      <c r="L73" s="7"/>
      <c r="M73" s="7"/>
      <c r="N73" s="7"/>
    </row>
    <row r="74" spans="2:14" hidden="1" x14ac:dyDescent="0.3">
      <c r="B74" s="47"/>
      <c r="C74" s="47"/>
      <c r="D74" s="47"/>
      <c r="E74" s="7"/>
      <c r="F74" s="53"/>
      <c r="G74" s="53"/>
      <c r="H74" s="53"/>
      <c r="I74" s="7"/>
      <c r="J74" s="7"/>
      <c r="K74" s="7"/>
      <c r="L74" s="7"/>
      <c r="M74" s="7"/>
      <c r="N74" s="7"/>
    </row>
    <row r="75" spans="2:14" hidden="1" x14ac:dyDescent="0.3">
      <c r="B75" s="47"/>
      <c r="C75" s="47"/>
      <c r="D75" s="4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x14ac:dyDescent="0.3"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x14ac:dyDescent="0.3"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x14ac:dyDescent="0.3"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x14ac:dyDescent="0.3"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x14ac:dyDescent="0.3">
      <c r="E80" s="7"/>
      <c r="F80" s="53"/>
      <c r="G80" s="7"/>
      <c r="H80" s="7"/>
      <c r="I80" s="7"/>
      <c r="J80" s="7"/>
      <c r="K80" s="7"/>
      <c r="L80" s="7"/>
      <c r="M80" s="7"/>
      <c r="N80" s="7"/>
    </row>
    <row r="81" spans="5:14" x14ac:dyDescent="0.3">
      <c r="E81" s="7"/>
      <c r="F81" s="53"/>
      <c r="G81" s="7"/>
      <c r="H81" s="7"/>
      <c r="I81" s="7"/>
      <c r="J81" s="7"/>
      <c r="K81" s="7"/>
      <c r="L81" s="7"/>
      <c r="M81" s="7"/>
      <c r="N81" s="7"/>
    </row>
    <row r="82" spans="5:14" x14ac:dyDescent="0.3">
      <c r="E82" s="7"/>
      <c r="F82" s="53"/>
      <c r="G82" s="7"/>
      <c r="H82" s="7"/>
      <c r="I82" s="7"/>
      <c r="J82" s="7"/>
      <c r="K82" s="7"/>
      <c r="L82" s="7"/>
      <c r="M82" s="7"/>
      <c r="N82" s="7"/>
    </row>
    <row r="83" spans="5:14" x14ac:dyDescent="0.3">
      <c r="E83" s="7"/>
      <c r="F83" s="53"/>
      <c r="G83" s="7"/>
      <c r="H83" s="7"/>
      <c r="I83" s="7"/>
      <c r="J83" s="7"/>
      <c r="K83" s="7"/>
      <c r="L83" s="7"/>
      <c r="M83" s="7"/>
      <c r="N83" s="7"/>
    </row>
    <row r="84" spans="5:14" x14ac:dyDescent="0.3">
      <c r="E84" s="7"/>
      <c r="F84" s="53"/>
      <c r="G84" s="7"/>
      <c r="H84" s="7"/>
      <c r="I84" s="7"/>
      <c r="J84" s="7"/>
      <c r="K84" s="7"/>
      <c r="L84" s="7"/>
      <c r="M84" s="7"/>
      <c r="N84" s="7"/>
    </row>
    <row r="85" spans="5:14" x14ac:dyDescent="0.3">
      <c r="E85" s="7"/>
      <c r="F85" s="53"/>
      <c r="G85" s="7"/>
      <c r="H85" s="7"/>
      <c r="I85" s="7"/>
      <c r="J85" s="7"/>
      <c r="K85" s="7"/>
      <c r="L85" s="7"/>
      <c r="M85" s="7"/>
      <c r="N85" s="7"/>
    </row>
    <row r="86" spans="5:14" x14ac:dyDescent="0.3">
      <c r="E86" s="7"/>
      <c r="F86" s="53"/>
      <c r="G86" s="7"/>
      <c r="H86" s="7"/>
      <c r="I86" s="7"/>
      <c r="J86" s="7"/>
      <c r="K86" s="7"/>
      <c r="L86" s="7"/>
      <c r="M86" s="7"/>
      <c r="N86" s="7"/>
    </row>
    <row r="87" spans="5:14" x14ac:dyDescent="0.3">
      <c r="E87" s="7"/>
      <c r="F87" s="53"/>
      <c r="G87" s="7"/>
      <c r="H87" s="7"/>
      <c r="I87" s="7"/>
      <c r="J87" s="7"/>
      <c r="K87" s="7"/>
      <c r="L87" s="7"/>
      <c r="M87" s="7"/>
      <c r="N87" s="7"/>
    </row>
    <row r="88" spans="5:14" x14ac:dyDescent="0.3">
      <c r="E88" s="7"/>
      <c r="F88" s="53"/>
      <c r="G88" s="7"/>
      <c r="H88" s="7"/>
      <c r="I88" s="7"/>
      <c r="J88" s="7"/>
      <c r="K88" s="7"/>
      <c r="L88" s="7"/>
      <c r="M88" s="7"/>
      <c r="N88" s="7"/>
    </row>
    <row r="89" spans="5:14" x14ac:dyDescent="0.3">
      <c r="E89" s="7"/>
      <c r="F89" s="53"/>
      <c r="G89" s="7"/>
      <c r="H89" s="7"/>
      <c r="I89" s="7"/>
      <c r="J89" s="7"/>
      <c r="K89" s="7"/>
      <c r="L89" s="7"/>
      <c r="M89" s="7"/>
      <c r="N89" s="7"/>
    </row>
    <row r="90" spans="5:14" x14ac:dyDescent="0.3"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5:14" x14ac:dyDescent="0.3"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5:14" x14ac:dyDescent="0.3"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5:14" x14ac:dyDescent="0.3"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5:14" x14ac:dyDescent="0.3"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5:14" x14ac:dyDescent="0.3"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5:14" x14ac:dyDescent="0.3"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5:14" x14ac:dyDescent="0.3"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5:14" x14ac:dyDescent="0.3"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5:14" x14ac:dyDescent="0.3"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5:14" x14ac:dyDescent="0.3"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5:14" x14ac:dyDescent="0.3"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5:14" x14ac:dyDescent="0.3"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5:14" x14ac:dyDescent="0.3"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5:14" x14ac:dyDescent="0.3"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5:14" x14ac:dyDescent="0.3"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5:14" x14ac:dyDescent="0.3"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5:14" x14ac:dyDescent="0.3"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5:14" x14ac:dyDescent="0.3"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5:14" x14ac:dyDescent="0.3"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5:14" x14ac:dyDescent="0.3"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5:14" x14ac:dyDescent="0.3"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5:14" x14ac:dyDescent="0.3"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5:14" x14ac:dyDescent="0.3"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5:14" x14ac:dyDescent="0.3"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5:14" x14ac:dyDescent="0.3"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5:14" x14ac:dyDescent="0.3"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5:14" x14ac:dyDescent="0.3"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5:14" x14ac:dyDescent="0.3"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5:14" x14ac:dyDescent="0.3"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5:14" x14ac:dyDescent="0.3"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5:14" x14ac:dyDescent="0.3"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5:14" x14ac:dyDescent="0.3"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5:14" x14ac:dyDescent="0.3"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5:14" x14ac:dyDescent="0.3"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5:14" x14ac:dyDescent="0.3"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5:14" x14ac:dyDescent="0.3"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5:14" x14ac:dyDescent="0.3"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5:14" x14ac:dyDescent="0.3"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5:14" x14ac:dyDescent="0.3"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5:14" x14ac:dyDescent="0.3"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5:14" x14ac:dyDescent="0.3"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5:14" x14ac:dyDescent="0.3"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5:14" x14ac:dyDescent="0.3"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5:14" x14ac:dyDescent="0.3"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5:14" x14ac:dyDescent="0.3"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5:14" x14ac:dyDescent="0.3"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5:14" x14ac:dyDescent="0.3"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5:14" x14ac:dyDescent="0.3"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5:14" x14ac:dyDescent="0.3"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5:14" x14ac:dyDescent="0.3"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5:14" x14ac:dyDescent="0.3"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5:14" x14ac:dyDescent="0.3"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5:14" x14ac:dyDescent="0.3"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5:14" x14ac:dyDescent="0.3"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5:14" x14ac:dyDescent="0.3"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5:14" x14ac:dyDescent="0.3"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5:14" x14ac:dyDescent="0.3"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5:14" x14ac:dyDescent="0.3"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5:14" x14ac:dyDescent="0.3"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5:14" x14ac:dyDescent="0.3"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5:14" x14ac:dyDescent="0.3"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5:14" x14ac:dyDescent="0.3"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5:14" x14ac:dyDescent="0.3"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5:14" x14ac:dyDescent="0.3"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5:14" x14ac:dyDescent="0.3"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5:14" x14ac:dyDescent="0.3"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5:14" x14ac:dyDescent="0.3"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5:14" x14ac:dyDescent="0.3"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5:14" x14ac:dyDescent="0.3"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5:14" x14ac:dyDescent="0.3"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5:14" x14ac:dyDescent="0.3"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5:14" x14ac:dyDescent="0.3"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5:14" x14ac:dyDescent="0.3"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5:14" x14ac:dyDescent="0.3"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5:14" x14ac:dyDescent="0.3"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5:14" x14ac:dyDescent="0.3"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5:14" x14ac:dyDescent="0.3"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5:14" x14ac:dyDescent="0.3"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5:14" x14ac:dyDescent="0.3"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5:14" x14ac:dyDescent="0.3"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5:14" x14ac:dyDescent="0.3"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5:14" x14ac:dyDescent="0.3"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5:14" x14ac:dyDescent="0.3"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5:14" x14ac:dyDescent="0.3"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5:14" x14ac:dyDescent="0.3"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5:14" x14ac:dyDescent="0.3"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5:14" x14ac:dyDescent="0.3"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5:14" x14ac:dyDescent="0.3"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5:14" x14ac:dyDescent="0.3"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5:14" x14ac:dyDescent="0.3">
      <c r="E180" s="7"/>
      <c r="F180" s="7"/>
      <c r="G180" s="7"/>
      <c r="H180" s="7"/>
      <c r="I180" s="7"/>
      <c r="J180" s="7"/>
      <c r="K180" s="7"/>
      <c r="L180" s="7"/>
      <c r="M180" s="7"/>
      <c r="N180" s="7"/>
    </row>
  </sheetData>
  <mergeCells count="7">
    <mergeCell ref="E44:G44"/>
    <mergeCell ref="E39:G43"/>
    <mergeCell ref="B34:C34"/>
    <mergeCell ref="B29:C29"/>
    <mergeCell ref="B70:D75"/>
    <mergeCell ref="B59:D63"/>
    <mergeCell ref="B64:D6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2024-06-12T09:42:47Z</dcterms:modified>
</cp:coreProperties>
</file>