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 defaultThemeVersion="124226"/>
  <mc:AlternateContent xmlns:mc="http://schemas.openxmlformats.org/markup-compatibility/2006">
    <mc:Choice Requires="x15">
      <x15ac:absPath xmlns:x15ac="http://schemas.microsoft.com/office/spreadsheetml/2010/11/ac" url="D:\Vaishali\SBI\RACPC Sion\Mithun Gangaram Patil\27.07.2024\"/>
    </mc:Choice>
  </mc:AlternateContent>
  <xr:revisionPtr revIDLastSave="0" documentId="13_ncr:1_{A5E39A32-51C4-4E93-99B8-D58D5952EF81}" xr6:coauthVersionLast="36" xr6:coauthVersionMax="47" xr10:uidLastSave="{00000000-0000-0000-0000-000000000000}"/>
  <bookViews>
    <workbookView xWindow="0" yWindow="0" windowWidth="28800" windowHeight="12105" tabRatio="907" activeTab="1" xr2:uid="{00000000-000D-0000-FFFF-FFFF00000000}"/>
  </bookViews>
  <sheets>
    <sheet name="Calculation" sheetId="1" r:id="rId1"/>
    <sheet name="Sheet1" sheetId="17" r:id="rId2"/>
    <sheet name="Sheet2" sheetId="18" r:id="rId3"/>
    <sheet name="Sheet3" sheetId="19" r:id="rId4"/>
    <sheet name="Sheet4" sheetId="20" r:id="rId5"/>
    <sheet name="Sheet5" sheetId="21" r:id="rId6"/>
    <sheet name="Sheet6" sheetId="22" r:id="rId7"/>
    <sheet name="Sheet7" sheetId="23" r:id="rId8"/>
    <sheet name="Sheet8" sheetId="24" r:id="rId9"/>
    <sheet name="Sheet9" sheetId="25" r:id="rId10"/>
    <sheet name="Sheet10" sheetId="26" r:id="rId11"/>
    <sheet name="Sheet11" sheetId="27" r:id="rId12"/>
    <sheet name="Sheet12" sheetId="28" r:id="rId13"/>
    <sheet name="Sheet13" sheetId="29" r:id="rId14"/>
    <sheet name="Sheet14" sheetId="30" r:id="rId15"/>
    <sheet name="Sheet15" sheetId="31" r:id="rId16"/>
    <sheet name="Sheet16" sheetId="32" r:id="rId17"/>
    <sheet name="Sheet17" sheetId="33" r:id="rId18"/>
    <sheet name="Sheet18" sheetId="34" r:id="rId19"/>
    <sheet name="Sheet19" sheetId="35" r:id="rId20"/>
    <sheet name="Sheet20" sheetId="36" r:id="rId21"/>
  </sheets>
  <calcPr calcId="191029"/>
</workbook>
</file>

<file path=xl/calcChain.xml><?xml version="1.0" encoding="utf-8"?>
<calcChain xmlns="http://schemas.openxmlformats.org/spreadsheetml/2006/main">
  <c r="C38" i="17" l="1"/>
  <c r="C35" i="17"/>
  <c r="C36" i="17" s="1"/>
  <c r="C37" i="17" s="1"/>
  <c r="C20" i="17"/>
  <c r="C22" i="17" s="1"/>
  <c r="C28" i="17" s="1"/>
  <c r="C17" i="17"/>
  <c r="C27" i="17" s="1"/>
  <c r="C15" i="17"/>
  <c r="C11" i="17"/>
  <c r="C12" i="17" s="1"/>
  <c r="M10" i="17"/>
  <c r="H10" i="17"/>
  <c r="I10" i="17" s="1"/>
  <c r="J10" i="17" s="1"/>
  <c r="K10" i="17" s="1"/>
  <c r="L10" i="17" s="1"/>
  <c r="M9" i="17"/>
  <c r="I9" i="17"/>
  <c r="J9" i="17" s="1"/>
  <c r="K9" i="17" s="1"/>
  <c r="L9" i="17" s="1"/>
  <c r="H9" i="17"/>
  <c r="M8" i="17"/>
  <c r="H8" i="17"/>
  <c r="I8" i="17" s="1"/>
  <c r="J8" i="17" s="1"/>
  <c r="K8" i="17" s="1"/>
  <c r="L8" i="17" s="1"/>
  <c r="M7" i="17"/>
  <c r="H7" i="17"/>
  <c r="I7" i="17" s="1"/>
  <c r="J7" i="17" s="1"/>
  <c r="K7" i="17" s="1"/>
  <c r="L7" i="17" s="1"/>
  <c r="C4" i="17"/>
  <c r="C25" i="17" s="1"/>
  <c r="H2" i="17"/>
  <c r="M13" i="17" l="1"/>
  <c r="L13" i="17"/>
  <c r="C26" i="17" s="1"/>
  <c r="C11" i="1"/>
  <c r="I7" i="1"/>
  <c r="J7" i="1" s="1"/>
  <c r="K7" i="1" s="1"/>
  <c r="L7" i="1" s="1"/>
  <c r="I9" i="1"/>
  <c r="H9" i="1"/>
  <c r="M9" i="1"/>
  <c r="M8" i="1"/>
  <c r="H8" i="1"/>
  <c r="I8" i="1" s="1"/>
  <c r="J8" i="1" s="1"/>
  <c r="K8" i="1" s="1"/>
  <c r="L8" i="1" s="1"/>
  <c r="M7" i="1"/>
  <c r="H7" i="1"/>
  <c r="C29" i="17" l="1"/>
  <c r="J9" i="1"/>
  <c r="K9" i="1"/>
  <c r="L9" i="1" s="1"/>
  <c r="C31" i="17" l="1"/>
  <c r="C32" i="17" s="1"/>
  <c r="C33" i="17" s="1"/>
  <c r="C34" i="17"/>
  <c r="C30" i="17"/>
  <c r="C12" i="1"/>
  <c r="C16" i="1" l="1"/>
  <c r="C23" i="1"/>
  <c r="C21" i="1"/>
  <c r="C29" i="1" l="1"/>
  <c r="H10" i="1" l="1"/>
  <c r="I10" i="1" s="1"/>
  <c r="J10" i="1" s="1"/>
  <c r="K10" i="1" s="1"/>
  <c r="L10" i="1" s="1"/>
  <c r="L13" i="1" s="1"/>
  <c r="M10" i="1"/>
  <c r="M13" i="1" s="1"/>
  <c r="C27" i="1" l="1"/>
  <c r="H2" i="1"/>
  <c r="C39" i="1" l="1"/>
  <c r="C18" i="1"/>
  <c r="C4" i="1" l="1"/>
  <c r="C28" i="1"/>
  <c r="C26" i="1" l="1"/>
  <c r="C30" i="1" s="1"/>
  <c r="D30" i="1" l="1"/>
  <c r="D21" i="1"/>
  <c r="C36" i="1"/>
  <c r="C37" i="1" s="1"/>
  <c r="C38" i="1" s="1"/>
  <c r="C35" i="1" l="1"/>
  <c r="C32" i="1" l="1"/>
  <c r="C33" i="1" s="1"/>
  <c r="C34" i="1" s="1"/>
  <c r="C31" i="1"/>
</calcChain>
</file>

<file path=xl/sharedStrings.xml><?xml version="1.0" encoding="utf-8"?>
<sst xmlns="http://schemas.openxmlformats.org/spreadsheetml/2006/main" count="127" uniqueCount="37">
  <si>
    <t>Items</t>
  </si>
  <si>
    <t>Year Of Const.</t>
  </si>
  <si>
    <t>Age Of Build.</t>
  </si>
  <si>
    <t>Built Up Area In             Sq. M.</t>
  </si>
  <si>
    <t>Valuation Year</t>
  </si>
  <si>
    <t>Total Life of Structure</t>
  </si>
  <si>
    <t>% of the depreciation rate to be deducted</t>
  </si>
  <si>
    <t>% Value</t>
  </si>
  <si>
    <t>Insurance Value / Full Value</t>
  </si>
  <si>
    <t>Full Rate</t>
  </si>
  <si>
    <t>Rate</t>
  </si>
  <si>
    <t>Value</t>
  </si>
  <si>
    <t>Total Value</t>
  </si>
  <si>
    <t>Realisable Value</t>
  </si>
  <si>
    <t>Distress Value</t>
  </si>
  <si>
    <t>land area</t>
  </si>
  <si>
    <t>Land Development</t>
  </si>
  <si>
    <t>Land Value</t>
  </si>
  <si>
    <t>Structure Value</t>
  </si>
  <si>
    <t>Land Development Value</t>
  </si>
  <si>
    <t>Insurance Value</t>
  </si>
  <si>
    <t>Final Depreciated Rate to be considered</t>
  </si>
  <si>
    <t>Final Depreciated Value to be considered</t>
  </si>
  <si>
    <t xml:space="preserve"> Value</t>
  </si>
  <si>
    <t>First Floor</t>
  </si>
  <si>
    <t>Ground Floor</t>
  </si>
  <si>
    <t>Second Floor</t>
  </si>
  <si>
    <t>AREA IN SQ. FT.</t>
  </si>
  <si>
    <t>Interior</t>
  </si>
  <si>
    <t xml:space="preserve">Basement </t>
  </si>
  <si>
    <t>BUA</t>
  </si>
  <si>
    <t>Net plot area</t>
  </si>
  <si>
    <t>Previous report  - 2021</t>
  </si>
  <si>
    <t>TOTAL</t>
  </si>
  <si>
    <t>Full Value</t>
  </si>
  <si>
    <t>TOTAL VALUE</t>
  </si>
  <si>
    <t>SBI\RACPC Sion\Mithun Gangaram Patil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</si>
</sst>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b/>
      <sz val="11"/>
      <name val="Calibri"/>
      <family val="2"/>
    </font>
    <font>
      <b/>
      <sz val="10"/>
      <color rgb="FFFF0000"/>
      <name val="Arial Narrow"/>
      <family val="2"/>
    </font>
    <font>
      <b/>
      <sz val="11"/>
      <color rgb="FFFF0000"/>
      <name val="Calibri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sz val="11"/>
      <color theme="1"/>
      <name val="Calibri"/>
      <family val="2"/>
      <scheme val="minor"/>
    </font>
    <font>
      <b/>
      <sz val="11"/>
      <name val="Arial Narrow"/>
      <family val="2"/>
    </font>
    <font>
      <sz val="10"/>
      <color theme="1"/>
      <name val="Arial Narrow"/>
      <family val="2"/>
    </font>
    <font>
      <sz val="12"/>
      <color theme="1"/>
      <name val="Arial Narrow"/>
      <family val="2"/>
    </font>
    <font>
      <sz val="10"/>
      <name val="Arial Narrow"/>
      <family val="2"/>
    </font>
    <font>
      <b/>
      <u/>
      <sz val="11"/>
      <color rgb="FFFF0000"/>
      <name val="Arial Narrow"/>
      <family val="2"/>
    </font>
    <font>
      <b/>
      <sz val="10.5"/>
      <name val="Arial Narrow"/>
      <family val="2"/>
    </font>
    <font>
      <sz val="10.5"/>
      <name val="Arial Narrow"/>
      <family val="2"/>
    </font>
    <font>
      <b/>
      <u/>
      <sz val="10.5"/>
      <name val="Arial Narrow"/>
      <family val="2"/>
    </font>
    <font>
      <b/>
      <sz val="10.5"/>
      <name val="Calibri"/>
      <family val="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1" fillId="0" borderId="0" applyFont="0" applyFill="0" applyBorder="0" applyAlignment="0" applyProtection="0"/>
  </cellStyleXfs>
  <cellXfs count="104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2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top" wrapText="1" shrinkToFit="1"/>
    </xf>
    <xf numFmtId="0" fontId="5" fillId="0" borderId="1" xfId="0" applyFont="1" applyBorder="1" applyAlignment="1">
      <alignment horizontal="center" vertical="top" wrapText="1" shrinkToFit="1"/>
    </xf>
    <xf numFmtId="0" fontId="6" fillId="0" borderId="1" xfId="0" applyFont="1" applyBorder="1" applyAlignment="1">
      <alignment horizontal="center" vertical="top" wrapText="1" shrinkToFit="1"/>
    </xf>
    <xf numFmtId="0" fontId="3" fillId="0" borderId="1" xfId="0" applyFont="1" applyBorder="1" applyAlignment="1">
      <alignment vertical="top"/>
    </xf>
    <xf numFmtId="0" fontId="3" fillId="0" borderId="0" xfId="0" applyFont="1"/>
    <xf numFmtId="0" fontId="7" fillId="0" borderId="1" xfId="0" applyFont="1" applyBorder="1" applyAlignment="1">
      <alignment horizontal="center" vertical="top" wrapText="1" shrinkToFit="1"/>
    </xf>
    <xf numFmtId="0" fontId="4" fillId="0" borderId="2" xfId="0" applyFont="1" applyBorder="1" applyAlignment="1">
      <alignment horizontal="center" vertical="top" wrapText="1" shrinkToFit="1"/>
    </xf>
    <xf numFmtId="0" fontId="8" fillId="0" borderId="0" xfId="0" applyFont="1" applyAlignment="1">
      <alignment horizontal="center" vertical="top"/>
    </xf>
    <xf numFmtId="0" fontId="1" fillId="0" borderId="0" xfId="0" applyFont="1" applyBorder="1" applyAlignment="1">
      <alignment vertical="top" wrapText="1"/>
    </xf>
    <xf numFmtId="0" fontId="1" fillId="0" borderId="0" xfId="0" applyFont="1" applyBorder="1" applyAlignment="1">
      <alignment vertical="top"/>
    </xf>
    <xf numFmtId="0" fontId="3" fillId="0" borderId="0" xfId="0" applyFont="1" applyBorder="1" applyAlignment="1">
      <alignment vertical="top"/>
    </xf>
    <xf numFmtId="0" fontId="8" fillId="0" borderId="0" xfId="0" applyFont="1" applyAlignment="1">
      <alignment wrapText="1"/>
    </xf>
    <xf numFmtId="0" fontId="10" fillId="0" borderId="0" xfId="0" applyFont="1" applyAlignment="1">
      <alignment horizontal="center" vertical="top"/>
    </xf>
    <xf numFmtId="4" fontId="3" fillId="0" borderId="1" xfId="0" applyNumberFormat="1" applyFont="1" applyBorder="1" applyAlignment="1">
      <alignment vertical="top"/>
    </xf>
    <xf numFmtId="4" fontId="3" fillId="0" borderId="0" xfId="0" applyNumberFormat="1" applyFont="1" applyBorder="1" applyAlignment="1">
      <alignment vertical="top"/>
    </xf>
    <xf numFmtId="4" fontId="1" fillId="0" borderId="0" xfId="0" applyNumberFormat="1" applyFont="1" applyBorder="1" applyAlignment="1">
      <alignment vertical="top"/>
    </xf>
    <xf numFmtId="4" fontId="1" fillId="0" borderId="0" xfId="0" applyNumberFormat="1" applyFont="1"/>
    <xf numFmtId="4" fontId="3" fillId="0" borderId="0" xfId="0" applyNumberFormat="1" applyFont="1"/>
    <xf numFmtId="4" fontId="10" fillId="0" borderId="0" xfId="0" applyNumberFormat="1" applyFont="1"/>
    <xf numFmtId="0" fontId="10" fillId="0" borderId="0" xfId="0" applyFont="1"/>
    <xf numFmtId="0" fontId="9" fillId="0" borderId="0" xfId="0" applyFont="1"/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4" fontId="9" fillId="0" borderId="1" xfId="0" applyNumberFormat="1" applyFont="1" applyBorder="1"/>
    <xf numFmtId="0" fontId="9" fillId="0" borderId="1" xfId="0" applyFont="1" applyBorder="1"/>
    <xf numFmtId="4" fontId="9" fillId="0" borderId="1" xfId="0" applyNumberFormat="1" applyFont="1" applyBorder="1" applyAlignment="1">
      <alignment vertical="top"/>
    </xf>
    <xf numFmtId="4" fontId="8" fillId="0" borderId="0" xfId="0" applyNumberFormat="1" applyFont="1"/>
    <xf numFmtId="4" fontId="9" fillId="0" borderId="0" xfId="0" applyNumberFormat="1" applyFont="1" applyBorder="1" applyAlignment="1">
      <alignment vertical="top"/>
    </xf>
    <xf numFmtId="0" fontId="9" fillId="0" borderId="0" xfId="0" applyFont="1" applyBorder="1"/>
    <xf numFmtId="0" fontId="3" fillId="0" borderId="0" xfId="0" applyFont="1" applyAlignment="1">
      <alignment wrapText="1"/>
    </xf>
    <xf numFmtId="0" fontId="4" fillId="0" borderId="0" xfId="0" applyFont="1" applyBorder="1" applyAlignment="1">
      <alignment horizontal="center" vertical="top" wrapText="1" shrinkToFit="1"/>
    </xf>
    <xf numFmtId="0" fontId="3" fillId="0" borderId="0" xfId="0" applyFont="1" applyBorder="1" applyAlignment="1">
      <alignment horizontal="center"/>
    </xf>
    <xf numFmtId="2" fontId="3" fillId="0" borderId="0" xfId="0" applyNumberFormat="1" applyFont="1"/>
    <xf numFmtId="0" fontId="1" fillId="0" borderId="0" xfId="0" applyFont="1" applyBorder="1"/>
    <xf numFmtId="4" fontId="1" fillId="0" borderId="0" xfId="0" applyNumberFormat="1" applyFont="1" applyBorder="1"/>
    <xf numFmtId="0" fontId="10" fillId="0" borderId="0" xfId="0" applyFont="1" applyAlignment="1">
      <alignment wrapText="1"/>
    </xf>
    <xf numFmtId="4" fontId="12" fillId="0" borderId="0" xfId="0" applyNumberFormat="1" applyFont="1"/>
    <xf numFmtId="4" fontId="3" fillId="0" borderId="3" xfId="0" applyNumberFormat="1" applyFont="1" applyBorder="1" applyAlignment="1">
      <alignment vertical="top"/>
    </xf>
    <xf numFmtId="4" fontId="3" fillId="0" borderId="1" xfId="0" applyNumberFormat="1" applyFont="1" applyBorder="1"/>
    <xf numFmtId="2" fontId="1" fillId="0" borderId="0" xfId="0" applyNumberFormat="1" applyFont="1" applyBorder="1"/>
    <xf numFmtId="0" fontId="3" fillId="0" borderId="0" xfId="0" applyFont="1" applyAlignment="1">
      <alignment horizontal="center" wrapText="1"/>
    </xf>
    <xf numFmtId="0" fontId="1" fillId="0" borderId="0" xfId="0" applyFont="1" applyBorder="1" applyAlignment="1">
      <alignment horizontal="center" vertical="center" wrapText="1"/>
    </xf>
    <xf numFmtId="4" fontId="9" fillId="0" borderId="0" xfId="1" applyNumberFormat="1" applyFont="1" applyBorder="1" applyAlignment="1">
      <alignment horizontal="right" vertical="center" wrapText="1"/>
    </xf>
    <xf numFmtId="0" fontId="9" fillId="0" borderId="0" xfId="0" applyFont="1" applyBorder="1" applyAlignment="1">
      <alignment horizontal="right" vertical="center" wrapText="1"/>
    </xf>
    <xf numFmtId="43" fontId="9" fillId="0" borderId="0" xfId="1" applyFont="1" applyBorder="1" applyAlignment="1">
      <alignment horizontal="right" vertical="center" wrapText="1"/>
    </xf>
    <xf numFmtId="0" fontId="1" fillId="0" borderId="0" xfId="0" applyFont="1" applyBorder="1" applyAlignment="1">
      <alignment horizontal="center"/>
    </xf>
    <xf numFmtId="4" fontId="3" fillId="0" borderId="0" xfId="0" applyNumberFormat="1" applyFont="1" applyBorder="1"/>
    <xf numFmtId="0" fontId="13" fillId="0" borderId="1" xfId="0" applyFont="1" applyBorder="1" applyAlignment="1">
      <alignment vertical="center" wrapText="1"/>
    </xf>
    <xf numFmtId="0" fontId="1" fillId="0" borderId="1" xfId="0" applyFont="1" applyBorder="1" applyAlignment="1">
      <alignment horizontal="right" vertical="center" wrapText="1"/>
    </xf>
    <xf numFmtId="0" fontId="9" fillId="0" borderId="1" xfId="0" applyFont="1" applyBorder="1" applyAlignment="1">
      <alignment horizontal="right" vertical="center" wrapText="1"/>
    </xf>
    <xf numFmtId="4" fontId="1" fillId="0" borderId="1" xfId="0" applyNumberFormat="1" applyFont="1" applyBorder="1" applyAlignment="1">
      <alignment horizontal="right" vertical="center" wrapText="1"/>
    </xf>
    <xf numFmtId="4" fontId="14" fillId="0" borderId="1" xfId="0" applyNumberFormat="1" applyFont="1" applyBorder="1" applyAlignment="1">
      <alignment horizontal="right" vertical="center" wrapText="1"/>
    </xf>
    <xf numFmtId="0" fontId="15" fillId="0" borderId="0" xfId="0" applyFont="1" applyBorder="1" applyAlignment="1">
      <alignment horizontal="center" vertical="top" wrapText="1" shrinkToFit="1"/>
    </xf>
    <xf numFmtId="0" fontId="16" fillId="0" borderId="0" xfId="0" applyFont="1" applyBorder="1" applyAlignment="1">
      <alignment vertical="top"/>
    </xf>
    <xf numFmtId="0" fontId="8" fillId="0" borderId="1" xfId="0" applyFont="1" applyBorder="1" applyAlignment="1">
      <alignment horizontal="left" vertical="top" wrapText="1"/>
    </xf>
    <xf numFmtId="0" fontId="17" fillId="0" borderId="0" xfId="0" applyFont="1" applyAlignment="1">
      <alignment wrapText="1"/>
    </xf>
    <xf numFmtId="0" fontId="18" fillId="0" borderId="0" xfId="0" applyFont="1"/>
    <xf numFmtId="0" fontId="19" fillId="0" borderId="0" xfId="0" applyFont="1"/>
    <xf numFmtId="0" fontId="18" fillId="0" borderId="1" xfId="0" applyFont="1" applyBorder="1" applyAlignment="1">
      <alignment horizontal="center" wrapText="1"/>
    </xf>
    <xf numFmtId="0" fontId="18" fillId="0" borderId="1" xfId="0" applyFont="1" applyBorder="1"/>
    <xf numFmtId="0" fontId="17" fillId="0" borderId="1" xfId="0" applyFont="1" applyBorder="1" applyAlignment="1">
      <alignment horizontal="center" vertical="top" wrapText="1" shrinkToFit="1"/>
    </xf>
    <xf numFmtId="0" fontId="18" fillId="0" borderId="1" xfId="0" applyFont="1" applyBorder="1" applyAlignment="1">
      <alignment horizontal="center"/>
    </xf>
    <xf numFmtId="4" fontId="18" fillId="0" borderId="1" xfId="0" applyNumberFormat="1" applyFont="1" applyBorder="1" applyAlignment="1">
      <alignment vertical="top"/>
    </xf>
    <xf numFmtId="4" fontId="18" fillId="0" borderId="4" xfId="0" applyNumberFormat="1" applyFont="1" applyBorder="1" applyAlignment="1">
      <alignment vertical="top"/>
    </xf>
    <xf numFmtId="0" fontId="17" fillId="0" borderId="1" xfId="0" applyFont="1" applyBorder="1" applyAlignment="1">
      <alignment horizontal="center" wrapText="1"/>
    </xf>
    <xf numFmtId="4" fontId="17" fillId="0" borderId="1" xfId="0" applyNumberFormat="1" applyFont="1" applyBorder="1"/>
    <xf numFmtId="0" fontId="17" fillId="0" borderId="2" xfId="0" applyFont="1" applyBorder="1" applyAlignment="1">
      <alignment horizontal="center" vertical="top" wrapText="1" shrinkToFit="1"/>
    </xf>
    <xf numFmtId="0" fontId="20" fillId="0" borderId="1" xfId="0" applyFont="1" applyBorder="1" applyAlignment="1">
      <alignment horizontal="center" vertical="top" wrapText="1" shrinkToFit="1"/>
    </xf>
    <xf numFmtId="0" fontId="17" fillId="0" borderId="0" xfId="0" applyFont="1" applyAlignment="1">
      <alignment horizontal="center"/>
    </xf>
    <xf numFmtId="0" fontId="18" fillId="0" borderId="1" xfId="0" applyFont="1" applyBorder="1" applyAlignment="1">
      <alignment vertical="center" wrapText="1"/>
    </xf>
    <xf numFmtId="0" fontId="18" fillId="0" borderId="1" xfId="0" applyFont="1" applyBorder="1" applyAlignment="1">
      <alignment horizontal="right" vertical="center" wrapText="1"/>
    </xf>
    <xf numFmtId="4" fontId="18" fillId="0" borderId="1" xfId="0" applyNumberFormat="1" applyFont="1" applyBorder="1" applyAlignment="1">
      <alignment horizontal="right" vertical="center" wrapText="1"/>
    </xf>
    <xf numFmtId="0" fontId="18" fillId="0" borderId="1" xfId="0" applyFont="1" applyBorder="1" applyAlignment="1">
      <alignment vertical="top"/>
    </xf>
    <xf numFmtId="0" fontId="17" fillId="0" borderId="1" xfId="0" applyFont="1" applyBorder="1" applyAlignment="1">
      <alignment vertical="center" wrapText="1"/>
    </xf>
    <xf numFmtId="0" fontId="17" fillId="0" borderId="1" xfId="0" applyFont="1" applyBorder="1" applyAlignment="1">
      <alignment horizontal="right" vertical="center" wrapText="1"/>
    </xf>
    <xf numFmtId="0" fontId="18" fillId="0" borderId="0" xfId="0" applyFont="1" applyBorder="1" applyAlignment="1">
      <alignment horizontal="center" vertical="center" wrapText="1"/>
    </xf>
    <xf numFmtId="4" fontId="18" fillId="0" borderId="0" xfId="1" applyNumberFormat="1" applyFont="1" applyBorder="1" applyAlignment="1">
      <alignment horizontal="right" vertical="center" wrapText="1"/>
    </xf>
    <xf numFmtId="0" fontId="18" fillId="0" borderId="0" xfId="0" applyFont="1" applyBorder="1" applyAlignment="1">
      <alignment horizontal="right" vertical="center" wrapText="1"/>
    </xf>
    <xf numFmtId="43" fontId="18" fillId="0" borderId="0" xfId="1" applyFont="1" applyBorder="1" applyAlignment="1">
      <alignment horizontal="right" vertical="center" wrapText="1"/>
    </xf>
    <xf numFmtId="0" fontId="18" fillId="0" borderId="0" xfId="0" applyFont="1" applyBorder="1" applyAlignment="1">
      <alignment vertical="top"/>
    </xf>
    <xf numFmtId="4" fontId="18" fillId="0" borderId="0" xfId="0" applyNumberFormat="1" applyFont="1" applyBorder="1" applyAlignment="1">
      <alignment vertical="top"/>
    </xf>
    <xf numFmtId="4" fontId="17" fillId="0" borderId="0" xfId="0" applyNumberFormat="1" applyFont="1" applyBorder="1" applyAlignment="1">
      <alignment vertical="top"/>
    </xf>
    <xf numFmtId="0" fontId="17" fillId="0" borderId="1" xfId="0" applyFont="1" applyBorder="1" applyAlignment="1">
      <alignment horizontal="left" vertical="top" wrapText="1"/>
    </xf>
    <xf numFmtId="4" fontId="18" fillId="0" borderId="1" xfId="0" applyNumberFormat="1" applyFont="1" applyBorder="1"/>
    <xf numFmtId="0" fontId="18" fillId="0" borderId="0" xfId="0" applyFont="1" applyBorder="1" applyAlignment="1">
      <alignment horizontal="center" vertical="top" wrapText="1" shrinkToFit="1"/>
    </xf>
    <xf numFmtId="0" fontId="17" fillId="0" borderId="0" xfId="0" applyFont="1" applyBorder="1" applyAlignment="1">
      <alignment horizontal="center" vertical="top" wrapText="1" shrinkToFit="1"/>
    </xf>
    <xf numFmtId="0" fontId="18" fillId="0" borderId="0" xfId="0" applyFont="1" applyBorder="1" applyAlignment="1">
      <alignment horizontal="center"/>
    </xf>
    <xf numFmtId="0" fontId="17" fillId="0" borderId="0" xfId="0" applyFont="1" applyAlignment="1">
      <alignment horizontal="center" vertical="top"/>
    </xf>
    <xf numFmtId="0" fontId="17" fillId="0" borderId="0" xfId="0" applyFont="1"/>
    <xf numFmtId="4" fontId="18" fillId="0" borderId="3" xfId="0" applyNumberFormat="1" applyFont="1" applyBorder="1" applyAlignment="1">
      <alignment vertical="top"/>
    </xf>
    <xf numFmtId="0" fontId="18" fillId="0" borderId="0" xfId="0" applyFont="1" applyBorder="1"/>
    <xf numFmtId="4" fontId="17" fillId="0" borderId="0" xfId="0" applyNumberFormat="1" applyFont="1"/>
    <xf numFmtId="4" fontId="18" fillId="0" borderId="0" xfId="0" applyNumberFormat="1" applyFont="1" applyBorder="1"/>
    <xf numFmtId="0" fontId="19" fillId="0" borderId="0" xfId="0" applyFont="1" applyAlignment="1">
      <alignment wrapText="1"/>
    </xf>
    <xf numFmtId="0" fontId="18" fillId="0" borderId="0" xfId="0" applyFont="1" applyAlignment="1">
      <alignment wrapText="1"/>
    </xf>
    <xf numFmtId="4" fontId="18" fillId="0" borderId="0" xfId="0" applyNumberFormat="1" applyFont="1"/>
    <xf numFmtId="2" fontId="18" fillId="0" borderId="0" xfId="0" applyNumberFormat="1" applyFont="1" applyBorder="1"/>
    <xf numFmtId="2" fontId="18" fillId="0" borderId="0" xfId="0" applyNumberFormat="1" applyFont="1"/>
    <xf numFmtId="0" fontId="17" fillId="0" borderId="1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450193</xdr:colOff>
      <xdr:row>43</xdr:row>
      <xdr:rowOff>0</xdr:rowOff>
    </xdr:from>
    <xdr:to>
      <xdr:col>21</xdr:col>
      <xdr:colOff>403494</xdr:colOff>
      <xdr:row>66</xdr:row>
      <xdr:rowOff>146821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49C0E0-45C8-4649-AE4D-2DA20A7D6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92270" y="8894885"/>
          <a:ext cx="6085936" cy="5033878"/>
        </a:xfrm>
        <a:prstGeom prst="rect">
          <a:avLst/>
        </a:prstGeom>
      </xdr:spPr>
    </xdr:pic>
    <xdr:clientData/>
  </xdr:twoCellAnchor>
  <xdr:twoCellAnchor editAs="oneCell">
    <xdr:from>
      <xdr:col>13</xdr:col>
      <xdr:colOff>16851</xdr:colOff>
      <xdr:row>14</xdr:row>
      <xdr:rowOff>88778</xdr:rowOff>
    </xdr:from>
    <xdr:to>
      <xdr:col>21</xdr:col>
      <xdr:colOff>286225</xdr:colOff>
      <xdr:row>42</xdr:row>
      <xdr:rowOff>180242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306B157-056D-426C-B9B3-1B3104752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48063" y="3613028"/>
          <a:ext cx="5412874" cy="5249618"/>
        </a:xfrm>
        <a:prstGeom prst="rect">
          <a:avLst/>
        </a:prstGeom>
      </xdr:spPr>
    </xdr:pic>
    <xdr:clientData/>
  </xdr:twoCellAnchor>
  <xdr:twoCellAnchor editAs="oneCell">
    <xdr:from>
      <xdr:col>4</xdr:col>
      <xdr:colOff>352425</xdr:colOff>
      <xdr:row>26</xdr:row>
      <xdr:rowOff>169252</xdr:rowOff>
    </xdr:from>
    <xdr:to>
      <xdr:col>8</xdr:col>
      <xdr:colOff>0</xdr:colOff>
      <xdr:row>41</xdr:row>
      <xdr:rowOff>124558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B027B26-74C0-48B1-A7C6-70394E451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920637" y="6316540"/>
          <a:ext cx="3684709" cy="2277941"/>
        </a:xfrm>
        <a:prstGeom prst="rect">
          <a:avLst/>
        </a:prstGeom>
      </xdr:spPr>
    </xdr:pic>
    <xdr:clientData/>
  </xdr:twoCellAnchor>
  <xdr:twoCellAnchor editAs="oneCell">
    <xdr:from>
      <xdr:col>1</xdr:col>
      <xdr:colOff>424229</xdr:colOff>
      <xdr:row>41</xdr:row>
      <xdr:rowOff>188301</xdr:rowOff>
    </xdr:from>
    <xdr:to>
      <xdr:col>7</xdr:col>
      <xdr:colOff>839665</xdr:colOff>
      <xdr:row>59</xdr:row>
      <xdr:rowOff>112101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C13E0A3-4B12-4A8B-86DF-D89CBACF8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32364" y="8658224"/>
          <a:ext cx="6394205" cy="3748454"/>
        </a:xfrm>
        <a:prstGeom prst="rect">
          <a:avLst/>
        </a:prstGeom>
      </xdr:spPr>
    </xdr:pic>
    <xdr:clientData/>
  </xdr:twoCellAnchor>
  <xdr:twoCellAnchor editAs="oneCell">
    <xdr:from>
      <xdr:col>4</xdr:col>
      <xdr:colOff>349495</xdr:colOff>
      <xdr:row>14</xdr:row>
      <xdr:rowOff>128495</xdr:rowOff>
    </xdr:from>
    <xdr:to>
      <xdr:col>7</xdr:col>
      <xdr:colOff>637443</xdr:colOff>
      <xdr:row>23</xdr:row>
      <xdr:rowOff>87923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B9BBAEC-A3B8-43E1-B10B-26504247F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917707" y="3652745"/>
          <a:ext cx="3306640" cy="1945024"/>
        </a:xfrm>
        <a:prstGeom prst="rect">
          <a:avLst/>
        </a:prstGeom>
      </xdr:spPr>
    </xdr:pic>
    <xdr:clientData/>
  </xdr:twoCellAnchor>
  <xdr:twoCellAnchor editAs="oneCell">
    <xdr:from>
      <xdr:col>8</xdr:col>
      <xdr:colOff>109903</xdr:colOff>
      <xdr:row>14</xdr:row>
      <xdr:rowOff>39806</xdr:rowOff>
    </xdr:from>
    <xdr:to>
      <xdr:col>12</xdr:col>
      <xdr:colOff>359020</xdr:colOff>
      <xdr:row>30</xdr:row>
      <xdr:rowOff>307731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7627178-3DDB-409A-B677-AF5B19743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715249" y="3564056"/>
          <a:ext cx="3985848" cy="3946040"/>
        </a:xfrm>
        <a:prstGeom prst="rect">
          <a:avLst/>
        </a:prstGeom>
      </xdr:spPr>
    </xdr:pic>
    <xdr:clientData/>
  </xdr:twoCellAnchor>
  <xdr:twoCellAnchor editAs="oneCell">
    <xdr:from>
      <xdr:col>8</xdr:col>
      <xdr:colOff>109904</xdr:colOff>
      <xdr:row>30</xdr:row>
      <xdr:rowOff>335238</xdr:rowOff>
    </xdr:from>
    <xdr:to>
      <xdr:col>12</xdr:col>
      <xdr:colOff>359019</xdr:colOff>
      <xdr:row>55</xdr:row>
      <xdr:rowOff>68859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03EC031-B220-4E9E-8E40-6EBD66D00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715250" y="7537603"/>
          <a:ext cx="3985846" cy="39759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N39"/>
  <sheetViews>
    <sheetView zoomScale="115" zoomScaleNormal="115" workbookViewId="0">
      <pane xSplit="3" ySplit="5" topLeftCell="D6" activePane="bottomRight" state="frozen"/>
      <selection pane="topRight" activeCell="D1" sqref="D1"/>
      <selection pane="bottomLeft" activeCell="A6" sqref="A6"/>
      <selection pane="bottomRight" sqref="A1:XFD1048576"/>
    </sheetView>
  </sheetViews>
  <sheetFormatPr defaultRowHeight="16.5" x14ac:dyDescent="0.3"/>
  <cols>
    <col min="1" max="1" width="9.140625" style="1"/>
    <col min="2" max="2" width="15.28515625" style="2" customWidth="1"/>
    <col min="3" max="3" width="15.28515625" style="1" bestFit="1" customWidth="1"/>
    <col min="4" max="4" width="13.85546875" style="1" bestFit="1" customWidth="1"/>
    <col min="5" max="5" width="17.5703125" style="1" bestFit="1" customWidth="1"/>
    <col min="6" max="7" width="13.85546875" style="8" bestFit="1" customWidth="1"/>
    <col min="8" max="8" width="15.28515625" style="8" bestFit="1" customWidth="1"/>
    <col min="9" max="9" width="13.85546875" style="1" bestFit="1" customWidth="1"/>
    <col min="10" max="10" width="13.140625" style="8" customWidth="1"/>
    <col min="11" max="11" width="14.140625" style="1" customWidth="1"/>
    <col min="12" max="12" width="14.85546875" style="8" customWidth="1"/>
    <col min="13" max="13" width="14.85546875" style="8" bestFit="1" customWidth="1"/>
    <col min="14" max="14" width="13.28515625" style="8" bestFit="1" customWidth="1"/>
    <col min="15" max="16384" width="9.140625" style="1"/>
  </cols>
  <sheetData>
    <row r="1" spans="2:14" x14ac:dyDescent="0.3">
      <c r="B1" s="15" t="s">
        <v>17</v>
      </c>
    </row>
    <row r="2" spans="2:14" x14ac:dyDescent="0.3">
      <c r="B2" s="25" t="s">
        <v>15</v>
      </c>
      <c r="C2" s="1">
        <v>302</v>
      </c>
      <c r="E2" s="4"/>
      <c r="F2" s="4"/>
      <c r="G2" s="27"/>
      <c r="H2" s="1">
        <f>18100/10.764</f>
        <v>1681.5310293571165</v>
      </c>
    </row>
    <row r="3" spans="2:14" x14ac:dyDescent="0.3">
      <c r="B3" s="26" t="s">
        <v>10</v>
      </c>
      <c r="C3" s="30">
        <v>80000</v>
      </c>
      <c r="D3" s="17"/>
      <c r="E3" s="29"/>
      <c r="F3" s="29"/>
      <c r="G3" s="17"/>
      <c r="H3" s="1"/>
    </row>
    <row r="4" spans="2:14" x14ac:dyDescent="0.3">
      <c r="B4" s="45" t="s">
        <v>23</v>
      </c>
      <c r="C4" s="21">
        <f>ROUND((C2*C3),0)</f>
        <v>24160000</v>
      </c>
      <c r="F4" s="24"/>
      <c r="G4" s="24"/>
    </row>
    <row r="5" spans="2:14" x14ac:dyDescent="0.3">
      <c r="B5" s="15" t="s">
        <v>18</v>
      </c>
    </row>
    <row r="6" spans="2:14" s="3" customFormat="1" ht="60" x14ac:dyDescent="0.2">
      <c r="B6" s="10" t="s">
        <v>0</v>
      </c>
      <c r="C6" s="4" t="s">
        <v>3</v>
      </c>
      <c r="D6" s="4" t="s">
        <v>1</v>
      </c>
      <c r="E6" s="4" t="s">
        <v>4</v>
      </c>
      <c r="F6" s="4" t="s">
        <v>5</v>
      </c>
      <c r="G6" s="5" t="s">
        <v>9</v>
      </c>
      <c r="H6" s="6" t="s">
        <v>2</v>
      </c>
      <c r="I6" s="9" t="s">
        <v>6</v>
      </c>
      <c r="J6" s="9" t="s">
        <v>7</v>
      </c>
      <c r="K6" s="6" t="s">
        <v>21</v>
      </c>
      <c r="L6" s="6" t="s">
        <v>22</v>
      </c>
      <c r="M6" s="6" t="s">
        <v>8</v>
      </c>
    </row>
    <row r="7" spans="2:14" s="3" customFormat="1" x14ac:dyDescent="0.2">
      <c r="B7" s="52" t="s">
        <v>29</v>
      </c>
      <c r="C7" s="53">
        <v>126</v>
      </c>
      <c r="D7" s="53">
        <v>2019</v>
      </c>
      <c r="E7" s="54">
        <v>2024</v>
      </c>
      <c r="F7" s="54">
        <v>60</v>
      </c>
      <c r="G7" s="55">
        <v>40000</v>
      </c>
      <c r="H7" s="7">
        <f t="shared" ref="H7:H9" si="0">E7-D7</f>
        <v>5</v>
      </c>
      <c r="I7" s="7">
        <f t="shared" ref="I7:I9" si="1">90*H7/F7</f>
        <v>7.5</v>
      </c>
      <c r="J7" s="17">
        <f t="shared" ref="J7:J9" si="2">G7/100*I7</f>
        <v>3000</v>
      </c>
      <c r="K7" s="17">
        <f t="shared" ref="K7:K9" si="3">ROUND((G7-J7),0)</f>
        <v>37000</v>
      </c>
      <c r="L7" s="17">
        <f t="shared" ref="L7:L9" si="4">ROUND((K7*C7),0)</f>
        <v>4662000</v>
      </c>
      <c r="M7" s="17">
        <f t="shared" ref="M7:M9" si="5">ROUND((C7*G7),0)</f>
        <v>5040000</v>
      </c>
    </row>
    <row r="8" spans="2:14" s="3" customFormat="1" x14ac:dyDescent="0.2">
      <c r="B8" s="52" t="s">
        <v>25</v>
      </c>
      <c r="C8" s="53">
        <v>100.92</v>
      </c>
      <c r="D8" s="53">
        <v>2019</v>
      </c>
      <c r="E8" s="54">
        <v>2024</v>
      </c>
      <c r="F8" s="54">
        <v>60</v>
      </c>
      <c r="G8" s="55">
        <v>40000</v>
      </c>
      <c r="H8" s="7">
        <f t="shared" si="0"/>
        <v>5</v>
      </c>
      <c r="I8" s="7">
        <f t="shared" si="1"/>
        <v>7.5</v>
      </c>
      <c r="J8" s="17">
        <f t="shared" si="2"/>
        <v>3000</v>
      </c>
      <c r="K8" s="17">
        <f t="shared" si="3"/>
        <v>37000</v>
      </c>
      <c r="L8" s="17">
        <f t="shared" si="4"/>
        <v>3734040</v>
      </c>
      <c r="M8" s="17">
        <f t="shared" si="5"/>
        <v>4036800</v>
      </c>
    </row>
    <row r="9" spans="2:14" s="3" customFormat="1" x14ac:dyDescent="0.2">
      <c r="B9" s="52" t="s">
        <v>24</v>
      </c>
      <c r="C9" s="53">
        <v>73.650000000000006</v>
      </c>
      <c r="D9" s="53">
        <v>2019</v>
      </c>
      <c r="E9" s="54">
        <v>2024</v>
      </c>
      <c r="F9" s="54">
        <v>60</v>
      </c>
      <c r="G9" s="55">
        <v>40000</v>
      </c>
      <c r="H9" s="7">
        <f t="shared" si="0"/>
        <v>5</v>
      </c>
      <c r="I9" s="7">
        <f t="shared" si="1"/>
        <v>7.5</v>
      </c>
      <c r="J9" s="17">
        <f t="shared" si="2"/>
        <v>3000</v>
      </c>
      <c r="K9" s="17">
        <f t="shared" si="3"/>
        <v>37000</v>
      </c>
      <c r="L9" s="17">
        <f t="shared" si="4"/>
        <v>2725050</v>
      </c>
      <c r="M9" s="17">
        <f t="shared" si="5"/>
        <v>2946000</v>
      </c>
    </row>
    <row r="10" spans="2:14" s="3" customFormat="1" x14ac:dyDescent="0.2">
      <c r="B10" s="52" t="s">
        <v>26</v>
      </c>
      <c r="C10" s="53">
        <v>72.55</v>
      </c>
      <c r="D10" s="53">
        <v>2019</v>
      </c>
      <c r="E10" s="54">
        <v>2024</v>
      </c>
      <c r="F10" s="54">
        <v>60</v>
      </c>
      <c r="G10" s="55">
        <v>40000</v>
      </c>
      <c r="H10" s="7">
        <f t="shared" ref="H10" si="6">E10-D10</f>
        <v>5</v>
      </c>
      <c r="I10" s="7">
        <f t="shared" ref="I10" si="7">90*H10/F10</f>
        <v>7.5</v>
      </c>
      <c r="J10" s="17">
        <f t="shared" ref="J10" si="8">G10/100*I10</f>
        <v>3000</v>
      </c>
      <c r="K10" s="17">
        <f t="shared" ref="K10" si="9">ROUND((G10-J10),0)</f>
        <v>37000</v>
      </c>
      <c r="L10" s="17">
        <f t="shared" ref="L10" si="10">ROUND((K10*C10),0)</f>
        <v>2684350</v>
      </c>
      <c r="M10" s="17">
        <f t="shared" ref="M10" si="11">ROUND((C10*G10),0)</f>
        <v>2902000</v>
      </c>
    </row>
    <row r="11" spans="2:14" s="3" customFormat="1" x14ac:dyDescent="0.2">
      <c r="B11" s="52"/>
      <c r="C11" s="53">
        <f>SUM(C7:C10)</f>
        <v>373.12000000000006</v>
      </c>
      <c r="D11" s="53"/>
      <c r="E11" s="54"/>
      <c r="F11" s="54"/>
      <c r="G11" s="55"/>
      <c r="H11" s="7"/>
      <c r="I11" s="7"/>
      <c r="J11" s="17"/>
      <c r="K11" s="17"/>
      <c r="L11" s="17"/>
      <c r="M11" s="17"/>
    </row>
    <row r="12" spans="2:14" s="3" customFormat="1" x14ac:dyDescent="0.2">
      <c r="B12" s="52" t="s">
        <v>27</v>
      </c>
      <c r="C12" s="53">
        <f>C11*10.764</f>
        <v>4016.2636800000005</v>
      </c>
      <c r="D12" s="53"/>
      <c r="E12" s="54"/>
      <c r="F12" s="54"/>
      <c r="G12" s="56"/>
      <c r="H12" s="7"/>
      <c r="I12" s="7"/>
      <c r="J12" s="17"/>
      <c r="K12" s="17"/>
      <c r="L12" s="17"/>
      <c r="M12" s="17"/>
    </row>
    <row r="13" spans="2:14" x14ac:dyDescent="0.3">
      <c r="B13" s="46"/>
      <c r="C13" s="47"/>
      <c r="D13" s="48"/>
      <c r="E13" s="48"/>
      <c r="F13" s="48"/>
      <c r="G13" s="49"/>
      <c r="H13" s="14"/>
      <c r="I13" s="14"/>
      <c r="J13" s="18"/>
      <c r="K13" s="18"/>
      <c r="L13" s="18">
        <f>SUM(L7:L12)</f>
        <v>13805440</v>
      </c>
      <c r="M13" s="18">
        <f>SUM(M7:M12)</f>
        <v>14924800</v>
      </c>
    </row>
    <row r="14" spans="2:14" x14ac:dyDescent="0.3">
      <c r="B14" s="12"/>
      <c r="C14" s="13"/>
      <c r="D14" s="13"/>
      <c r="E14" s="13"/>
      <c r="F14" s="14"/>
      <c r="G14" s="14"/>
      <c r="H14" s="58" t="s">
        <v>32</v>
      </c>
      <c r="I14" s="13"/>
      <c r="J14" s="18"/>
      <c r="K14" s="19"/>
      <c r="L14" s="32"/>
      <c r="M14" s="32"/>
      <c r="N14" s="14"/>
    </row>
    <row r="15" spans="2:14" ht="22.5" customHeight="1" x14ac:dyDescent="0.3">
      <c r="B15" s="59" t="s">
        <v>19</v>
      </c>
      <c r="C15" s="59"/>
      <c r="D15" s="13"/>
      <c r="E15" s="13"/>
      <c r="F15" s="14"/>
      <c r="G15" s="14"/>
      <c r="H15" s="14"/>
      <c r="I15" s="13"/>
      <c r="J15" s="14"/>
      <c r="K15" s="13"/>
      <c r="L15" s="14"/>
      <c r="M15" s="14"/>
      <c r="N15" s="14"/>
    </row>
    <row r="16" spans="2:14" x14ac:dyDescent="0.3">
      <c r="B16" s="25" t="s">
        <v>31</v>
      </c>
      <c r="C16" s="28">
        <f>C2-C8</f>
        <v>201.07999999999998</v>
      </c>
      <c r="E16" s="57"/>
      <c r="F16" s="35"/>
      <c r="G16" s="36"/>
      <c r="H16" s="16"/>
      <c r="K16" s="23"/>
    </row>
    <row r="17" spans="2:11" x14ac:dyDescent="0.3">
      <c r="B17" s="26" t="s">
        <v>10</v>
      </c>
      <c r="C17" s="30">
        <v>30000</v>
      </c>
      <c r="D17" s="42"/>
      <c r="E17" s="33"/>
      <c r="F17" s="33"/>
      <c r="G17" s="18"/>
      <c r="H17" s="16"/>
      <c r="K17" s="22"/>
    </row>
    <row r="18" spans="2:11" x14ac:dyDescent="0.3">
      <c r="B18" s="26" t="s">
        <v>11</v>
      </c>
      <c r="C18" s="43">
        <f>ROUND((C16*C17),0)</f>
        <v>6032400</v>
      </c>
      <c r="D18" s="11"/>
      <c r="E18" s="11"/>
      <c r="F18" s="23"/>
      <c r="H18" s="16"/>
      <c r="K18" s="23"/>
    </row>
    <row r="19" spans="2:11" x14ac:dyDescent="0.3">
      <c r="B19" s="50"/>
      <c r="C19" s="51"/>
      <c r="D19" s="11"/>
      <c r="E19" s="11"/>
      <c r="F19" s="23"/>
      <c r="H19" s="16"/>
      <c r="K19" s="23"/>
    </row>
    <row r="20" spans="2:11" x14ac:dyDescent="0.3">
      <c r="B20" s="59" t="s">
        <v>28</v>
      </c>
      <c r="C20" s="59"/>
      <c r="D20" s="11"/>
      <c r="E20" s="11"/>
      <c r="F20" s="23"/>
      <c r="H20" s="16"/>
      <c r="K20" s="23"/>
    </row>
    <row r="21" spans="2:11" x14ac:dyDescent="0.3">
      <c r="B21" s="25" t="s">
        <v>30</v>
      </c>
      <c r="C21" s="28">
        <f>C8+C9+C10</f>
        <v>247.12</v>
      </c>
      <c r="D21" s="11">
        <f>C30/C21</f>
        <v>278042.40854645515</v>
      </c>
      <c r="E21" s="11"/>
      <c r="F21" s="23"/>
      <c r="H21" s="16"/>
      <c r="K21" s="23"/>
    </row>
    <row r="22" spans="2:11" x14ac:dyDescent="0.3">
      <c r="B22" s="26" t="s">
        <v>10</v>
      </c>
      <c r="C22" s="30">
        <v>100000</v>
      </c>
      <c r="D22" s="11"/>
      <c r="E22" s="11"/>
      <c r="F22" s="23"/>
      <c r="H22" s="16"/>
      <c r="K22" s="23"/>
    </row>
    <row r="23" spans="2:11" x14ac:dyDescent="0.3">
      <c r="B23" s="26" t="s">
        <v>11</v>
      </c>
      <c r="C23" s="43">
        <f>C22*C21</f>
        <v>24712000</v>
      </c>
      <c r="D23" s="11"/>
      <c r="E23" s="11"/>
      <c r="F23" s="23"/>
      <c r="H23" s="16"/>
      <c r="K23" s="23"/>
    </row>
    <row r="24" spans="2:11" x14ac:dyDescent="0.3">
      <c r="B24" s="50"/>
      <c r="C24" s="51"/>
      <c r="D24" s="11"/>
      <c r="E24" s="11"/>
      <c r="F24" s="23"/>
      <c r="H24" s="16"/>
      <c r="K24" s="23"/>
    </row>
    <row r="25" spans="2:11" x14ac:dyDescent="0.3">
      <c r="C25" s="11"/>
      <c r="D25" s="11"/>
      <c r="E25" s="11"/>
      <c r="F25" s="23"/>
      <c r="H25" s="16"/>
      <c r="K25" s="23"/>
    </row>
    <row r="26" spans="2:11" x14ac:dyDescent="0.3">
      <c r="B26" s="2" t="s">
        <v>17</v>
      </c>
      <c r="C26" s="21">
        <f>C4</f>
        <v>24160000</v>
      </c>
      <c r="D26" s="21"/>
      <c r="E26" s="21"/>
      <c r="F26" s="21"/>
      <c r="G26" s="21"/>
      <c r="H26" s="22"/>
      <c r="K26" s="20"/>
    </row>
    <row r="27" spans="2:11" x14ac:dyDescent="0.3">
      <c r="B27" s="2" t="s">
        <v>18</v>
      </c>
      <c r="C27" s="21">
        <f>L13</f>
        <v>13805440</v>
      </c>
      <c r="D27" s="21"/>
      <c r="E27" s="21"/>
      <c r="F27" s="21"/>
      <c r="G27" s="21"/>
      <c r="H27" s="22"/>
      <c r="K27" s="22"/>
    </row>
    <row r="28" spans="2:11" ht="33" x14ac:dyDescent="0.3">
      <c r="B28" s="2" t="s">
        <v>16</v>
      </c>
      <c r="C28" s="21">
        <f>C18</f>
        <v>6032400</v>
      </c>
      <c r="D28" s="21"/>
      <c r="E28" s="21"/>
      <c r="F28" s="21"/>
      <c r="G28" s="21"/>
      <c r="H28" s="22"/>
      <c r="K28" s="22"/>
    </row>
    <row r="29" spans="2:11" x14ac:dyDescent="0.3">
      <c r="B29" s="2" t="s">
        <v>28</v>
      </c>
      <c r="C29" s="21">
        <f>C23</f>
        <v>24712000</v>
      </c>
      <c r="D29" s="21"/>
      <c r="E29" s="21"/>
      <c r="F29" s="21"/>
      <c r="G29" s="21"/>
      <c r="H29" s="22"/>
      <c r="K29" s="22"/>
    </row>
    <row r="30" spans="2:11" x14ac:dyDescent="0.3">
      <c r="B30" s="15" t="s">
        <v>12</v>
      </c>
      <c r="C30" s="31">
        <f>SUM(C26:C29)</f>
        <v>68709840</v>
      </c>
      <c r="D30" s="38">
        <f>C30/C2</f>
        <v>227516.02649006623</v>
      </c>
      <c r="E30" s="38"/>
      <c r="F30" s="39"/>
    </row>
    <row r="31" spans="2:11" ht="33" x14ac:dyDescent="0.3">
      <c r="B31" s="15" t="s">
        <v>13</v>
      </c>
      <c r="C31" s="31">
        <f>ROUND((C30*0.9),0)</f>
        <v>61838856</v>
      </c>
      <c r="D31" s="44"/>
      <c r="E31" s="38"/>
      <c r="F31" s="39"/>
      <c r="H31" s="37"/>
    </row>
    <row r="32" spans="2:11" hidden="1" x14ac:dyDescent="0.3">
      <c r="B32" s="34" t="s">
        <v>11</v>
      </c>
      <c r="C32" s="20">
        <f>C30*0.8</f>
        <v>54967872</v>
      </c>
      <c r="D32" s="44"/>
      <c r="E32" s="38"/>
      <c r="F32" s="39"/>
    </row>
    <row r="33" spans="2:8" hidden="1" x14ac:dyDescent="0.3">
      <c r="B33" s="40"/>
      <c r="C33" s="21">
        <f>ROUNDUP(C32,0)</f>
        <v>54967872</v>
      </c>
      <c r="D33" s="44"/>
      <c r="E33" s="38"/>
      <c r="F33" s="39"/>
    </row>
    <row r="34" spans="2:8" hidden="1" x14ac:dyDescent="0.3">
      <c r="B34" s="40"/>
      <c r="C34" s="21">
        <f>C33-C32</f>
        <v>0</v>
      </c>
      <c r="D34" s="44"/>
      <c r="E34" s="38"/>
      <c r="F34" s="39"/>
    </row>
    <row r="35" spans="2:8" x14ac:dyDescent="0.3">
      <c r="B35" s="15" t="s">
        <v>14</v>
      </c>
      <c r="C35" s="41">
        <f>ROUND((C30*0.8),0)</f>
        <v>54967872</v>
      </c>
      <c r="D35" s="44"/>
      <c r="E35" s="38"/>
      <c r="F35" s="39"/>
      <c r="H35" s="37"/>
    </row>
    <row r="36" spans="2:8" hidden="1" x14ac:dyDescent="0.3">
      <c r="B36" s="8" t="s">
        <v>11</v>
      </c>
      <c r="C36" s="22">
        <f>M14</f>
        <v>0</v>
      </c>
      <c r="D36" s="44"/>
      <c r="E36" s="38"/>
      <c r="F36" s="39"/>
    </row>
    <row r="37" spans="2:8" hidden="1" x14ac:dyDescent="0.3">
      <c r="B37" s="34"/>
      <c r="C37" s="21">
        <f>ROUNDUP(C36,0)</f>
        <v>0</v>
      </c>
      <c r="D37" s="44"/>
    </row>
    <row r="38" spans="2:8" hidden="1" x14ac:dyDescent="0.3">
      <c r="B38" s="34"/>
      <c r="C38" s="21">
        <f>C37-C36</f>
        <v>0</v>
      </c>
      <c r="D38" s="44"/>
    </row>
    <row r="39" spans="2:8" x14ac:dyDescent="0.3">
      <c r="B39" s="15" t="s">
        <v>20</v>
      </c>
      <c r="C39" s="31">
        <f>C27*85%</f>
        <v>11734624</v>
      </c>
      <c r="D39" s="44"/>
    </row>
  </sheetData>
  <mergeCells count="2">
    <mergeCell ref="B15:C15"/>
    <mergeCell ref="B20:C20"/>
  </mergeCells>
  <pageMargins left="0.7" right="0.7" top="0.75" bottom="0.75" header="0.3" footer="0.3"/>
  <pageSetup orientation="portrait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BFE42F-419A-4A7D-8D60-F08C7FF8C97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C85DE2-3F97-4915-B2FB-60FC8CF34B88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F1C3D0-1132-4978-B538-280DDD3DECF3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21DB8B-F60D-4019-BB06-C8CFACE5DAB8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7CC012-9C02-4FD2-9168-917474202A8D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FED0C-3712-4DF3-8A31-572D15ED33A6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679C8-D403-469C-B5A4-BE740F693E01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ED5745-6BE4-4958-857D-8ACD58B45D65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1BF35F-17E5-42D4-9B1D-A78660BF8D46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53161-F2B3-4221-9576-9011A378F71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8A07B5-EC6A-42EC-B425-B4186A675E7A}">
  <dimension ref="B1:N38"/>
  <sheetViews>
    <sheetView tabSelected="1" workbookViewId="0">
      <selection activeCell="G28" sqref="G28"/>
    </sheetView>
  </sheetViews>
  <sheetFormatPr defaultRowHeight="13.5" x14ac:dyDescent="0.2"/>
  <cols>
    <col min="1" max="1" width="9.140625" style="61"/>
    <col min="2" max="2" width="15.28515625" style="99" customWidth="1"/>
    <col min="3" max="3" width="15.28515625" style="61" bestFit="1" customWidth="1"/>
    <col min="4" max="4" width="13.85546875" style="61" bestFit="1" customWidth="1"/>
    <col min="5" max="5" width="17.5703125" style="61" bestFit="1" customWidth="1"/>
    <col min="6" max="7" width="13.85546875" style="61" bestFit="1" customWidth="1"/>
    <col min="8" max="8" width="10.5703125" style="61" customWidth="1"/>
    <col min="9" max="9" width="19.140625" style="61" customWidth="1"/>
    <col min="10" max="10" width="13.140625" style="61" customWidth="1"/>
    <col min="11" max="11" width="14.140625" style="61" customWidth="1"/>
    <col min="12" max="12" width="14.85546875" style="61" customWidth="1"/>
    <col min="13" max="13" width="14.85546875" style="61" bestFit="1" customWidth="1"/>
    <col min="14" max="14" width="13.28515625" style="61" bestFit="1" customWidth="1"/>
    <col min="15" max="16384" width="9.140625" style="61"/>
  </cols>
  <sheetData>
    <row r="1" spans="2:14" x14ac:dyDescent="0.2">
      <c r="B1" s="60" t="s">
        <v>17</v>
      </c>
      <c r="E1" s="62" t="s">
        <v>36</v>
      </c>
    </row>
    <row r="2" spans="2:14" x14ac:dyDescent="0.2">
      <c r="B2" s="63" t="s">
        <v>15</v>
      </c>
      <c r="C2" s="64">
        <v>302</v>
      </c>
      <c r="E2" s="65"/>
      <c r="F2" s="65"/>
      <c r="G2" s="66"/>
      <c r="H2" s="61">
        <f>18100/10.764</f>
        <v>1681.5310293571165</v>
      </c>
    </row>
    <row r="3" spans="2:14" x14ac:dyDescent="0.2">
      <c r="B3" s="66" t="s">
        <v>10</v>
      </c>
      <c r="C3" s="67">
        <v>80000</v>
      </c>
      <c r="D3" s="68"/>
      <c r="E3" s="64"/>
      <c r="F3" s="64"/>
      <c r="G3" s="67"/>
    </row>
    <row r="4" spans="2:14" x14ac:dyDescent="0.2">
      <c r="B4" s="69" t="s">
        <v>23</v>
      </c>
      <c r="C4" s="70">
        <f>ROUND((C2*C3),0)</f>
        <v>24160000</v>
      </c>
    </row>
    <row r="5" spans="2:14" x14ac:dyDescent="0.2">
      <c r="B5" s="60" t="s">
        <v>18</v>
      </c>
    </row>
    <row r="6" spans="2:14" s="73" customFormat="1" ht="45" customHeight="1" x14ac:dyDescent="0.2">
      <c r="B6" s="71" t="s">
        <v>0</v>
      </c>
      <c r="C6" s="65" t="s">
        <v>3</v>
      </c>
      <c r="D6" s="65" t="s">
        <v>1</v>
      </c>
      <c r="E6" s="65" t="s">
        <v>4</v>
      </c>
      <c r="F6" s="65" t="s">
        <v>5</v>
      </c>
      <c r="G6" s="72" t="s">
        <v>9</v>
      </c>
      <c r="H6" s="65" t="s">
        <v>2</v>
      </c>
      <c r="I6" s="72" t="s">
        <v>6</v>
      </c>
      <c r="J6" s="72" t="s">
        <v>7</v>
      </c>
      <c r="K6" s="65" t="s">
        <v>21</v>
      </c>
      <c r="L6" s="65" t="s">
        <v>22</v>
      </c>
      <c r="M6" s="65" t="s">
        <v>34</v>
      </c>
    </row>
    <row r="7" spans="2:14" s="73" customFormat="1" x14ac:dyDescent="0.2">
      <c r="B7" s="74" t="s">
        <v>29</v>
      </c>
      <c r="C7" s="75">
        <v>126</v>
      </c>
      <c r="D7" s="75">
        <v>2019</v>
      </c>
      <c r="E7" s="75">
        <v>2024</v>
      </c>
      <c r="F7" s="75">
        <v>60</v>
      </c>
      <c r="G7" s="76">
        <v>40000</v>
      </c>
      <c r="H7" s="77">
        <f t="shared" ref="H7:H10" si="0">E7-D7</f>
        <v>5</v>
      </c>
      <c r="I7" s="77">
        <f t="shared" ref="I7:I10" si="1">90*H7/F7</f>
        <v>7.5</v>
      </c>
      <c r="J7" s="67">
        <f t="shared" ref="J7:J10" si="2">G7/100*I7</f>
        <v>3000</v>
      </c>
      <c r="K7" s="67">
        <f t="shared" ref="K7:K10" si="3">ROUND((G7-J7),0)</f>
        <v>37000</v>
      </c>
      <c r="L7" s="67">
        <f t="shared" ref="L7:L10" si="4">ROUND((K7*C7),0)</f>
        <v>4662000</v>
      </c>
      <c r="M7" s="67">
        <f t="shared" ref="M7:M10" si="5">ROUND((C7*G7),0)</f>
        <v>5040000</v>
      </c>
    </row>
    <row r="8" spans="2:14" s="73" customFormat="1" x14ac:dyDescent="0.2">
      <c r="B8" s="74" t="s">
        <v>25</v>
      </c>
      <c r="C8" s="75">
        <v>100.92</v>
      </c>
      <c r="D8" s="75">
        <v>2019</v>
      </c>
      <c r="E8" s="75">
        <v>2024</v>
      </c>
      <c r="F8" s="75">
        <v>60</v>
      </c>
      <c r="G8" s="76">
        <v>40000</v>
      </c>
      <c r="H8" s="77">
        <f t="shared" si="0"/>
        <v>5</v>
      </c>
      <c r="I8" s="77">
        <f t="shared" si="1"/>
        <v>7.5</v>
      </c>
      <c r="J8" s="67">
        <f t="shared" si="2"/>
        <v>3000</v>
      </c>
      <c r="K8" s="67">
        <f t="shared" si="3"/>
        <v>37000</v>
      </c>
      <c r="L8" s="67">
        <f t="shared" si="4"/>
        <v>3734040</v>
      </c>
      <c r="M8" s="67">
        <f t="shared" si="5"/>
        <v>4036800</v>
      </c>
    </row>
    <row r="9" spans="2:14" s="73" customFormat="1" x14ac:dyDescent="0.2">
      <c r="B9" s="74" t="s">
        <v>24</v>
      </c>
      <c r="C9" s="75">
        <v>73.650000000000006</v>
      </c>
      <c r="D9" s="75">
        <v>2019</v>
      </c>
      <c r="E9" s="75">
        <v>2024</v>
      </c>
      <c r="F9" s="75">
        <v>60</v>
      </c>
      <c r="G9" s="76">
        <v>40000</v>
      </c>
      <c r="H9" s="77">
        <f t="shared" si="0"/>
        <v>5</v>
      </c>
      <c r="I9" s="77">
        <f t="shared" si="1"/>
        <v>7.5</v>
      </c>
      <c r="J9" s="67">
        <f t="shared" si="2"/>
        <v>3000</v>
      </c>
      <c r="K9" s="67">
        <f t="shared" si="3"/>
        <v>37000</v>
      </c>
      <c r="L9" s="67">
        <f t="shared" si="4"/>
        <v>2725050</v>
      </c>
      <c r="M9" s="67">
        <f t="shared" si="5"/>
        <v>2946000</v>
      </c>
    </row>
    <row r="10" spans="2:14" s="73" customFormat="1" x14ac:dyDescent="0.2">
      <c r="B10" s="74" t="s">
        <v>26</v>
      </c>
      <c r="C10" s="75">
        <v>72.55</v>
      </c>
      <c r="D10" s="75">
        <v>2019</v>
      </c>
      <c r="E10" s="75">
        <v>2024</v>
      </c>
      <c r="F10" s="75">
        <v>60</v>
      </c>
      <c r="G10" s="76">
        <v>40000</v>
      </c>
      <c r="H10" s="77">
        <f t="shared" si="0"/>
        <v>5</v>
      </c>
      <c r="I10" s="77">
        <f t="shared" si="1"/>
        <v>7.5</v>
      </c>
      <c r="J10" s="67">
        <f t="shared" si="2"/>
        <v>3000</v>
      </c>
      <c r="K10" s="67">
        <f t="shared" si="3"/>
        <v>37000</v>
      </c>
      <c r="L10" s="67">
        <f t="shared" si="4"/>
        <v>2684350</v>
      </c>
      <c r="M10" s="67">
        <f t="shared" si="5"/>
        <v>2902000</v>
      </c>
    </row>
    <row r="11" spans="2:14" s="73" customFormat="1" x14ac:dyDescent="0.2">
      <c r="B11" s="78" t="s">
        <v>33</v>
      </c>
      <c r="C11" s="79">
        <f>SUM(C7:C10)</f>
        <v>373.12000000000006</v>
      </c>
      <c r="D11" s="75"/>
      <c r="E11" s="75"/>
      <c r="F11" s="75"/>
      <c r="G11" s="76"/>
      <c r="H11" s="77"/>
      <c r="I11" s="77"/>
      <c r="J11" s="67"/>
      <c r="K11" s="67"/>
      <c r="L11" s="67"/>
      <c r="M11" s="67"/>
    </row>
    <row r="12" spans="2:14" s="73" customFormat="1" x14ac:dyDescent="0.2">
      <c r="B12" s="78" t="s">
        <v>27</v>
      </c>
      <c r="C12" s="79">
        <f>C11*10.764</f>
        <v>4016.2636800000005</v>
      </c>
      <c r="D12" s="75"/>
      <c r="E12" s="75"/>
      <c r="F12" s="75"/>
      <c r="G12" s="76"/>
      <c r="H12" s="77"/>
      <c r="I12" s="77"/>
      <c r="J12" s="67"/>
      <c r="K12" s="67"/>
      <c r="L12" s="67"/>
      <c r="M12" s="67"/>
    </row>
    <row r="13" spans="2:14" x14ac:dyDescent="0.2">
      <c r="B13" s="80"/>
      <c r="C13" s="81"/>
      <c r="D13" s="82"/>
      <c r="E13" s="82"/>
      <c r="F13" s="82"/>
      <c r="G13" s="83"/>
      <c r="H13" s="84"/>
      <c r="I13" s="84"/>
      <c r="J13" s="85"/>
      <c r="K13" s="85"/>
      <c r="L13" s="86">
        <f>SUM(L7:L12)</f>
        <v>13805440</v>
      </c>
      <c r="M13" s="86">
        <f>SUM(M7:M12)</f>
        <v>14924800</v>
      </c>
    </row>
    <row r="14" spans="2:14" ht="22.5" customHeight="1" x14ac:dyDescent="0.2">
      <c r="B14" s="87" t="s">
        <v>19</v>
      </c>
      <c r="C14" s="87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</row>
    <row r="15" spans="2:14" x14ac:dyDescent="0.2">
      <c r="B15" s="63" t="s">
        <v>31</v>
      </c>
      <c r="C15" s="88">
        <f>C2-C8</f>
        <v>201.07999999999998</v>
      </c>
      <c r="E15" s="89"/>
      <c r="F15" s="90"/>
      <c r="G15" s="91"/>
      <c r="H15" s="92"/>
      <c r="K15" s="93"/>
    </row>
    <row r="16" spans="2:14" x14ac:dyDescent="0.2">
      <c r="B16" s="66" t="s">
        <v>10</v>
      </c>
      <c r="C16" s="67">
        <v>30000</v>
      </c>
      <c r="D16" s="94"/>
      <c r="E16" s="95"/>
      <c r="F16" s="95"/>
      <c r="G16" s="85"/>
      <c r="H16" s="92"/>
      <c r="K16" s="96"/>
    </row>
    <row r="17" spans="2:11" x14ac:dyDescent="0.2">
      <c r="B17" s="103" t="s">
        <v>11</v>
      </c>
      <c r="C17" s="70">
        <f>ROUND((C15*C16),0)</f>
        <v>6032400</v>
      </c>
      <c r="D17" s="92"/>
      <c r="E17" s="92"/>
      <c r="F17" s="93"/>
      <c r="H17" s="92"/>
      <c r="K17" s="93"/>
    </row>
    <row r="18" spans="2:11" x14ac:dyDescent="0.2">
      <c r="B18" s="91"/>
      <c r="C18" s="97"/>
      <c r="D18" s="92"/>
      <c r="E18" s="92"/>
      <c r="F18" s="93"/>
      <c r="H18" s="92"/>
      <c r="K18" s="93"/>
    </row>
    <row r="19" spans="2:11" x14ac:dyDescent="0.2">
      <c r="B19" s="87" t="s">
        <v>28</v>
      </c>
      <c r="C19" s="87"/>
      <c r="D19" s="92"/>
      <c r="E19" s="92"/>
      <c r="F19" s="93"/>
      <c r="H19" s="92"/>
      <c r="K19" s="93"/>
    </row>
    <row r="20" spans="2:11" x14ac:dyDescent="0.2">
      <c r="B20" s="63" t="s">
        <v>30</v>
      </c>
      <c r="C20" s="88">
        <f>C8+C9+C10</f>
        <v>247.12</v>
      </c>
      <c r="D20" s="92"/>
      <c r="E20" s="92"/>
      <c r="F20" s="93"/>
      <c r="H20" s="92"/>
      <c r="K20" s="93"/>
    </row>
    <row r="21" spans="2:11" x14ac:dyDescent="0.2">
      <c r="B21" s="66" t="s">
        <v>10</v>
      </c>
      <c r="C21" s="67">
        <v>100000</v>
      </c>
      <c r="D21" s="92"/>
      <c r="E21" s="92"/>
      <c r="F21" s="93"/>
      <c r="H21" s="92"/>
      <c r="K21" s="93"/>
    </row>
    <row r="22" spans="2:11" x14ac:dyDescent="0.2">
      <c r="B22" s="103" t="s">
        <v>11</v>
      </c>
      <c r="C22" s="70">
        <f>C21*C20</f>
        <v>24712000</v>
      </c>
      <c r="D22" s="92"/>
      <c r="E22" s="92"/>
      <c r="F22" s="93"/>
      <c r="H22" s="92"/>
      <c r="K22" s="93"/>
    </row>
    <row r="23" spans="2:11" x14ac:dyDescent="0.2">
      <c r="B23" s="91"/>
      <c r="C23" s="97"/>
      <c r="D23" s="92"/>
      <c r="E23" s="92"/>
      <c r="F23" s="93"/>
      <c r="H23" s="92"/>
      <c r="K23" s="93"/>
    </row>
    <row r="24" spans="2:11" x14ac:dyDescent="0.2">
      <c r="B24" s="98" t="s">
        <v>35</v>
      </c>
      <c r="C24" s="92"/>
      <c r="D24" s="92"/>
      <c r="E24" s="92"/>
      <c r="F24" s="93"/>
      <c r="H24" s="92"/>
      <c r="K24" s="93"/>
    </row>
    <row r="25" spans="2:11" x14ac:dyDescent="0.2">
      <c r="B25" s="99" t="s">
        <v>17</v>
      </c>
      <c r="C25" s="100">
        <f>C4</f>
        <v>24160000</v>
      </c>
      <c r="D25" s="100"/>
      <c r="E25" s="100"/>
      <c r="F25" s="100"/>
      <c r="G25" s="100"/>
      <c r="H25" s="96"/>
      <c r="K25" s="100"/>
    </row>
    <row r="26" spans="2:11" x14ac:dyDescent="0.2">
      <c r="B26" s="99" t="s">
        <v>18</v>
      </c>
      <c r="C26" s="100">
        <f>L13</f>
        <v>13805440</v>
      </c>
      <c r="D26" s="100"/>
      <c r="E26" s="100"/>
      <c r="F26" s="100"/>
      <c r="G26" s="100"/>
      <c r="H26" s="96"/>
      <c r="K26" s="96"/>
    </row>
    <row r="27" spans="2:11" x14ac:dyDescent="0.2">
      <c r="B27" s="99" t="s">
        <v>16</v>
      </c>
      <c r="C27" s="100">
        <f>C17</f>
        <v>6032400</v>
      </c>
      <c r="D27" s="100"/>
      <c r="E27" s="100"/>
      <c r="F27" s="100"/>
      <c r="G27" s="100"/>
      <c r="H27" s="96"/>
      <c r="K27" s="96"/>
    </row>
    <row r="28" spans="2:11" x14ac:dyDescent="0.2">
      <c r="B28" s="99" t="s">
        <v>28</v>
      </c>
      <c r="C28" s="100">
        <f>C22</f>
        <v>24712000</v>
      </c>
      <c r="D28" s="100"/>
      <c r="E28" s="100"/>
      <c r="F28" s="100"/>
      <c r="G28" s="100"/>
      <c r="H28" s="96"/>
      <c r="K28" s="96"/>
    </row>
    <row r="29" spans="2:11" x14ac:dyDescent="0.2">
      <c r="B29" s="60" t="s">
        <v>12</v>
      </c>
      <c r="C29" s="96">
        <f>SUM(C25:C28)</f>
        <v>68709840</v>
      </c>
      <c r="D29" s="95"/>
      <c r="E29" s="95"/>
      <c r="F29" s="97"/>
    </row>
    <row r="30" spans="2:11" ht="14.25" customHeight="1" x14ac:dyDescent="0.2">
      <c r="B30" s="60" t="s">
        <v>13</v>
      </c>
      <c r="C30" s="96">
        <f>ROUND((C29*0.9),0)</f>
        <v>61838856</v>
      </c>
      <c r="D30" s="101"/>
      <c r="E30" s="95"/>
      <c r="F30" s="97"/>
      <c r="H30" s="102"/>
    </row>
    <row r="31" spans="2:11" hidden="1" x14ac:dyDescent="0.2">
      <c r="B31" s="99" t="s">
        <v>11</v>
      </c>
      <c r="C31" s="100">
        <f>C29*0.8</f>
        <v>54967872</v>
      </c>
      <c r="D31" s="101"/>
      <c r="E31" s="95"/>
      <c r="F31" s="97"/>
    </row>
    <row r="32" spans="2:11" hidden="1" x14ac:dyDescent="0.2">
      <c r="B32" s="60"/>
      <c r="C32" s="100">
        <f>ROUNDUP(C31,0)</f>
        <v>54967872</v>
      </c>
      <c r="D32" s="101"/>
      <c r="E32" s="95"/>
      <c r="F32" s="97"/>
    </row>
    <row r="33" spans="2:8" hidden="1" x14ac:dyDescent="0.2">
      <c r="B33" s="60"/>
      <c r="C33" s="100">
        <f>C32-C31</f>
        <v>0</v>
      </c>
      <c r="D33" s="101"/>
      <c r="E33" s="95"/>
      <c r="F33" s="97"/>
    </row>
    <row r="34" spans="2:8" x14ac:dyDescent="0.2">
      <c r="B34" s="60" t="s">
        <v>14</v>
      </c>
      <c r="C34" s="96">
        <f>ROUND((C29*0.8),0)</f>
        <v>54967872</v>
      </c>
      <c r="D34" s="101"/>
      <c r="E34" s="95"/>
      <c r="F34" s="97"/>
      <c r="H34" s="102"/>
    </row>
    <row r="35" spans="2:8" hidden="1" x14ac:dyDescent="0.2">
      <c r="B35" s="61" t="s">
        <v>11</v>
      </c>
      <c r="C35" s="96" t="e">
        <f>#REF!</f>
        <v>#REF!</v>
      </c>
      <c r="D35" s="101"/>
      <c r="E35" s="95"/>
      <c r="F35" s="97"/>
    </row>
    <row r="36" spans="2:8" hidden="1" x14ac:dyDescent="0.2">
      <c r="C36" s="100" t="e">
        <f>ROUNDUP(C35,0)</f>
        <v>#REF!</v>
      </c>
      <c r="D36" s="101"/>
    </row>
    <row r="37" spans="2:8" hidden="1" x14ac:dyDescent="0.2">
      <c r="C37" s="100" t="e">
        <f>C36-C35</f>
        <v>#REF!</v>
      </c>
      <c r="D37" s="101"/>
    </row>
    <row r="38" spans="2:8" x14ac:dyDescent="0.2">
      <c r="B38" s="60" t="s">
        <v>20</v>
      </c>
      <c r="C38" s="96">
        <f>C26*85%</f>
        <v>11734624</v>
      </c>
      <c r="D38" s="101"/>
    </row>
  </sheetData>
  <mergeCells count="2">
    <mergeCell ref="B14:C14"/>
    <mergeCell ref="B19:C19"/>
  </mergeCells>
  <pageMargins left="0.7" right="0.7" top="0.75" bottom="0.75" header="0.3" footer="0.3"/>
  <pageSetup orientation="portrait" horizontalDpi="1200" verticalDpi="12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E61312-C441-45B9-8CA6-69151066A046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4DAF61-AA24-4194-A547-816E58F3AF0C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E83C4-94F6-4A5A-B7D9-19E09C791D91}">
  <dimension ref="A1"/>
  <sheetViews>
    <sheetView workbookViewId="0">
      <selection activeCell="P15" sqref="P15"/>
    </sheetView>
  </sheetViews>
  <sheetFormatPr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CD31E5-74EE-44A9-9489-99FE6F4DC121}">
  <dimension ref="A1"/>
  <sheetViews>
    <sheetView workbookViewId="0">
      <selection activeCell="H30" sqref="H30"/>
    </sheetView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805160-C773-4086-AC92-77C3C5E5B893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4B4B6-57ED-43F2-8C45-479C708641B4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0750F-CB22-490A-B7E1-56F551E0EF8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EDFA72-1929-45DF-BD54-CBF96019A904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941C10-A958-4EE6-A3F0-2BFB7BE546CE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Calculation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  <vt:lpstr>Sheet15</vt:lpstr>
      <vt:lpstr>Sheet16</vt:lpstr>
      <vt:lpstr>Sheet17</vt:lpstr>
      <vt:lpstr>Sheet18</vt:lpstr>
      <vt:lpstr>Sheet19</vt:lpstr>
      <vt:lpstr>Sheet20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manoj chalikwar</cp:lastModifiedBy>
  <dcterms:created xsi:type="dcterms:W3CDTF">2014-10-16T12:20:47Z</dcterms:created>
  <dcterms:modified xsi:type="dcterms:W3CDTF">2024-05-21T07:38:34Z</dcterms:modified>
</cp:coreProperties>
</file>