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Mohammed Ali Road Branch\Aarti Prakash Desai\"/>
    </mc:Choice>
  </mc:AlternateContent>
  <xr:revisionPtr revIDLastSave="0" documentId="13_ncr:1_{04D509FD-EBE7-4F58-920C-B1D88405EDC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I43" i="4" l="1"/>
  <c r="H38" i="4"/>
  <c r="I38" i="4" s="1"/>
  <c r="H37" i="4"/>
  <c r="I37" i="4" s="1"/>
  <c r="G38" i="4"/>
  <c r="G39" i="4" s="1"/>
  <c r="G37" i="4"/>
  <c r="H39" i="4" l="1"/>
  <c r="I39" i="4" s="1"/>
  <c r="P2" i="4"/>
  <c r="J43" i="4" l="1"/>
  <c r="W29" i="24"/>
  <c r="P30" i="24" l="1"/>
  <c r="O30" i="24"/>
  <c r="N30" i="24"/>
  <c r="N29" i="24"/>
  <c r="N28" i="24"/>
  <c r="N27" i="24"/>
  <c r="N26" i="24"/>
  <c r="N25" i="24"/>
  <c r="N24" i="24"/>
  <c r="N23" i="24"/>
  <c r="N22" i="24"/>
  <c r="N21" i="24"/>
  <c r="N20" i="24"/>
  <c r="O18" i="24"/>
  <c r="O17" i="24"/>
  <c r="N18" i="24"/>
  <c r="N6" i="24"/>
  <c r="N7" i="24"/>
  <c r="N8" i="24"/>
  <c r="N9" i="24"/>
  <c r="N10" i="24"/>
  <c r="N11" i="24"/>
  <c r="N12" i="24"/>
  <c r="N13" i="24"/>
  <c r="N14" i="24"/>
  <c r="N15" i="24"/>
  <c r="N16" i="24"/>
  <c r="N17" i="24"/>
  <c r="D34" i="4" l="1"/>
  <c r="C5" i="25" l="1"/>
  <c r="C4" i="25"/>
  <c r="C3" i="25"/>
  <c r="Q2" i="4"/>
  <c r="B2" i="4" s="1"/>
  <c r="C2" i="4" s="1"/>
  <c r="P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G11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<sst xmlns="http://schemas.openxmlformats.org/spreadsheetml/2006/main" count="145" uniqueCount="103">
  <si>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</si>
  <si>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</si>
  <si>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</si>
  <si>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</si>
  <si>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</si>
  <si>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</si>
  <si>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</si>
  <si>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</si>
  <si>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</si>
  <si>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</si>
  <si>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</si>
  <si>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</si>
  <si>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</si>
  <si>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</si>
  <si>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</si>
  <si>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</si>
  <si>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</si>
  <si>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</si>
  <si>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</si>
  <si>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</si>
  <si>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</si>
  <si>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</si>
  <si>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</si>
  <si>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</si>
  <si>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</si>
  <si>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</si>
  <si>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</si>
  <si>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</si>
  <si>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</si>
  <si>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</si>
  <si>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</si>
  <si>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</si>
  <si>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</si>
  <si>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</si>
  <si>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</si>
  <si>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</si>
  <si>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</si>
  <si>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</si>
  <si>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</si>
  <si>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</si>
  <si>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</si>
  <si>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</si>
  <si>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</si>
  <si>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</si>
  <si>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</si>
  <si>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</si>
  <si>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</si>
  <si>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</si>
  <si>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</si>
  <si>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</si>
  <si>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</si>
  <si>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</si>
  <si>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</si>
  <si>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</si>
  <si>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</si>
  <si>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</si>
  <si>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</si>
  <si>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</si>
  <si>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</si>
  <si>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</si>
  <si>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</si>
  <si>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</si>
  <si>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</si>
  <si>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</si>
  <si>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</si>
  <si>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</si>
  <si>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</si>
  <si>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</si>
  <si>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</si>
  <si>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</si>
  <si>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</si>
  <si>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</si>
  <si>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</si>
  <si>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</si>
  <si>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</si>
  <si>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</si>
  <si>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</si>
  <si>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</si>
  <si>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</si>
  <si>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</si>
  <si>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</si>
  <si>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</si>
  <si>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</si>
  <si>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</si>
  <si>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IGR-04.05.23</t>
  </si>
  <si>
    <t>IGR-15.02.24</t>
  </si>
  <si>
    <t>PREV VAL - KRISHNAKANT PANDAT - 2021</t>
  </si>
  <si>
    <t xml:space="preserve">BUA </t>
  </si>
  <si>
    <t>RATE</t>
  </si>
  <si>
    <t>740 CA</t>
  </si>
  <si>
    <t>As per MCGM Records</t>
  </si>
  <si>
    <t>Flat No. - 502</t>
  </si>
  <si>
    <t xml:space="preserve">ETN </t>
  </si>
  <si>
    <t>CA</t>
  </si>
  <si>
    <t>BUA</t>
  </si>
  <si>
    <t>TDR Committee Summary</t>
  </si>
  <si>
    <t>OG BUA</t>
  </si>
  <si>
    <t>ADD BUA</t>
  </si>
  <si>
    <t xml:space="preserve">Society Letter </t>
  </si>
  <si>
    <t>IGR-31.01.24</t>
  </si>
  <si>
    <t>Fair Market Value</t>
  </si>
  <si>
    <t>Ralizable Value</t>
  </si>
  <si>
    <t>Distress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</si>
</sst>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0" fillId="0" borderId="10" xfId="0" applyFill="1" applyBorder="1"/>
    <xf numFmtId="43" fontId="2" fillId="2" borderId="9" xfId="1" applyFont="1" applyFill="1" applyBorder="1"/>
    <xf numFmtId="43" fontId="7" fillId="2" borderId="0" xfId="0" applyNumberFormat="1" applyFont="1" applyFill="1"/>
    <xf numFmtId="43" fontId="2" fillId="2" borderId="0" xfId="1" applyFont="1" applyFill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285750</xdr:colOff>
      <xdr:row>12</xdr:row>
      <xdr:rowOff>114300</xdr:rowOff>
    </xdr:from>
    <xdr:to>
      <xdr:col>28</xdr:col>
      <xdr:colOff>600714</xdr:colOff>
      <xdr:row>25</xdr:row>
      <xdr:rowOff>9891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289D52-308D-4503-93C0-42390784C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1650" y="2667000"/>
          <a:ext cx="4582164" cy="26197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32</xdr:col>
      <xdr:colOff>45339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2C9F3-7782-44D4-B7F3-E3840A07A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603CA-76BE-48AE-ABD4-C77DA925B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4B1A3-A301-40A1-8AFE-0DF360DA1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363957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DC4B11-CB87-4DAE-9E8C-D8E69886B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84757" cy="8773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2F973-D5BB-4784-9C5A-B7F95E37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7AD6BB-8B07-46BA-BE54-8F97F11AB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24045B-53CB-487F-A925-1800986A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907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23</xdr:col>
      <xdr:colOff>173431</xdr:colOff>
      <xdr:row>94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7A83EF-ECEC-4CEA-B31B-D11B829E1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194231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39D5D7-13A1-4A5C-9092-3DB1403C8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77</v>
      </c>
      <c r="C3" s="54">
        <f>374860*0.85</f>
        <v>318631</v>
      </c>
      <c r="D3" s="44"/>
      <c r="E3" s="44"/>
      <c r="F3" s="44"/>
      <c r="H3" s="57" t="s">
        <v>37</v>
      </c>
      <c r="I3" s="57"/>
      <c r="J3" s="57" t="s">
        <v>38</v>
      </c>
      <c r="K3" s="57" t="s">
        <v>39</v>
      </c>
      <c r="L3" s="57" t="s">
        <v>40</v>
      </c>
    </row>
    <row r="4" spans="2:12" x14ac:dyDescent="0.25">
      <c r="B4" s="44" t="s">
        <v>83</v>
      </c>
      <c r="C4" s="54">
        <f>C3*10%</f>
        <v>31863.100000000002</v>
      </c>
      <c r="D4" s="44"/>
      <c r="E4" s="44"/>
      <c r="F4" s="44"/>
      <c r="H4" s="58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78</v>
      </c>
      <c r="C5" s="59">
        <f>C3+C4</f>
        <v>350494.1</v>
      </c>
      <c r="D5" s="60" t="s">
        <v>62</v>
      </c>
      <c r="E5" s="61">
        <f>C5/10.764</f>
        <v>32561.696395392046</v>
      </c>
      <c r="F5" s="60" t="s">
        <v>63</v>
      </c>
      <c r="H5" s="62" t="s">
        <v>44</v>
      </c>
      <c r="I5" s="58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79</v>
      </c>
      <c r="C6" s="54">
        <v>29400</v>
      </c>
      <c r="D6" s="44"/>
      <c r="E6" s="44"/>
      <c r="F6" s="44"/>
      <c r="H6" s="63" t="s">
        <v>46</v>
      </c>
      <c r="I6" s="58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80</v>
      </c>
      <c r="C7" s="54">
        <f>C5-C6</f>
        <v>321094.09999999998</v>
      </c>
      <c r="D7" s="44"/>
      <c r="E7" s="44"/>
      <c r="F7" s="44"/>
      <c r="H7" s="62" t="s">
        <v>50</v>
      </c>
      <c r="I7" s="58">
        <v>0.8</v>
      </c>
      <c r="J7" s="44"/>
      <c r="K7" s="62" t="s">
        <v>46</v>
      </c>
      <c r="L7" s="58">
        <v>0.05</v>
      </c>
    </row>
    <row r="8" spans="2:12" ht="30" x14ac:dyDescent="0.25">
      <c r="B8" s="64" t="s">
        <v>81</v>
      </c>
      <c r="C8" s="54">
        <f>C7*D13%</f>
        <v>179812.696</v>
      </c>
      <c r="D8" s="44"/>
      <c r="E8" s="44"/>
      <c r="F8" s="44"/>
      <c r="H8" s="62" t="s">
        <v>51</v>
      </c>
      <c r="I8" s="58">
        <v>0.7</v>
      </c>
      <c r="J8" s="44"/>
      <c r="K8" s="65" t="s">
        <v>52</v>
      </c>
      <c r="L8" s="58">
        <v>0.1</v>
      </c>
    </row>
    <row r="9" spans="2:12" x14ac:dyDescent="0.25">
      <c r="B9" s="44" t="s">
        <v>82</v>
      </c>
      <c r="C9" s="59">
        <f>C6+C8</f>
        <v>209212.696</v>
      </c>
      <c r="D9" s="60" t="s">
        <v>62</v>
      </c>
      <c r="E9" s="61">
        <f>C9/10.764</f>
        <v>19436.333704942401</v>
      </c>
      <c r="F9" s="60" t="s">
        <v>63</v>
      </c>
      <c r="H9" s="62" t="s">
        <v>53</v>
      </c>
      <c r="I9" s="58">
        <v>0.6</v>
      </c>
      <c r="J9" s="44"/>
      <c r="K9" s="44" t="s">
        <v>54</v>
      </c>
      <c r="L9" s="58">
        <v>0.15</v>
      </c>
    </row>
    <row r="10" spans="2:12" x14ac:dyDescent="0.25">
      <c r="C10" s="66"/>
      <c r="H10" s="44" t="s">
        <v>55</v>
      </c>
      <c r="I10" s="58">
        <v>0.5</v>
      </c>
      <c r="J10" s="44"/>
      <c r="K10" s="44" t="s">
        <v>56</v>
      </c>
      <c r="L10" s="58">
        <v>0.2</v>
      </c>
    </row>
    <row r="11" spans="2:12" x14ac:dyDescent="0.25">
      <c r="B11" s="50" t="s">
        <v>68</v>
      </c>
      <c r="C11" s="68">
        <f>Calculation!D7</f>
        <v>2024</v>
      </c>
      <c r="H11" s="44" t="s">
        <v>57</v>
      </c>
      <c r="I11" s="58">
        <v>0.4</v>
      </c>
      <c r="J11" s="44"/>
      <c r="K11" s="44"/>
      <c r="L11" s="44"/>
    </row>
    <row r="12" spans="2:12" x14ac:dyDescent="0.25">
      <c r="B12" s="50" t="s">
        <v>69</v>
      </c>
      <c r="C12" s="68">
        <f>Calculation!D8</f>
        <v>1980</v>
      </c>
      <c r="D12" s="67">
        <v>100</v>
      </c>
      <c r="H12" s="44" t="s">
        <v>58</v>
      </c>
      <c r="I12" s="58">
        <v>0.3</v>
      </c>
      <c r="J12" s="44"/>
      <c r="K12" s="44"/>
      <c r="L12" s="44"/>
    </row>
    <row r="13" spans="2:12" x14ac:dyDescent="0.25">
      <c r="B13" s="50" t="s">
        <v>70</v>
      </c>
      <c r="C13" s="68">
        <f>C11-C12</f>
        <v>44</v>
      </c>
      <c r="D13" s="67">
        <f>D12-C13</f>
        <v>56</v>
      </c>
    </row>
    <row r="15" spans="2:12" x14ac:dyDescent="0.25">
      <c r="B15" s="44" t="s">
        <v>59</v>
      </c>
      <c r="C15" s="54">
        <v>93700</v>
      </c>
      <c r="D15" s="44"/>
      <c r="E15" s="44"/>
      <c r="F15" s="44"/>
    </row>
    <row r="16" spans="2:12" x14ac:dyDescent="0.25">
      <c r="B16" s="44" t="s">
        <v>60</v>
      </c>
      <c r="C16" s="54">
        <f>C15*5%</f>
        <v>4685</v>
      </c>
      <c r="D16" s="44"/>
      <c r="E16" s="44"/>
      <c r="F16" s="44"/>
    </row>
    <row r="17" spans="2:6" x14ac:dyDescent="0.25">
      <c r="B17" s="44" t="s">
        <v>61</v>
      </c>
      <c r="C17" s="59">
        <f>C15+C16</f>
        <v>98385</v>
      </c>
      <c r="D17" s="60" t="s">
        <v>62</v>
      </c>
      <c r="E17" s="61">
        <f>C17/10.764</f>
        <v>9140.1895206243044</v>
      </c>
      <c r="F17" s="60" t="s">
        <v>63</v>
      </c>
    </row>
    <row r="18" spans="2:6" x14ac:dyDescent="0.25">
      <c r="B18" s="44" t="s">
        <v>65</v>
      </c>
      <c r="C18" s="54">
        <v>26620</v>
      </c>
      <c r="D18" s="44"/>
      <c r="E18" s="44"/>
      <c r="F18" s="44"/>
    </row>
    <row r="19" spans="2:6" x14ac:dyDescent="0.25">
      <c r="B19" s="44" t="s">
        <v>66</v>
      </c>
      <c r="C19" s="54">
        <f>C17-C18</f>
        <v>71765</v>
      </c>
      <c r="D19" s="44"/>
      <c r="E19" s="44"/>
      <c r="F19" s="44"/>
    </row>
    <row r="20" spans="2:6" ht="45" x14ac:dyDescent="0.25">
      <c r="B20" s="64" t="s">
        <v>67</v>
      </c>
      <c r="C20" s="54">
        <f>C18*80%</f>
        <v>21296</v>
      </c>
      <c r="D20" s="44"/>
      <c r="E20" s="44"/>
      <c r="F20" s="44"/>
    </row>
    <row r="21" spans="2:6" x14ac:dyDescent="0.25">
      <c r="B21" s="44" t="s">
        <v>64</v>
      </c>
      <c r="C21" s="59">
        <f>C19+C20</f>
        <v>93061</v>
      </c>
      <c r="D21" s="60" t="s">
        <v>62</v>
      </c>
      <c r="E21" s="61">
        <f>C21/10.764</f>
        <v>8645.5778520995918</v>
      </c>
      <c r="F21" s="60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9" workbookViewId="0">
      <selection activeCell="A49" sqref="A4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V29" sqref="V2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1">
        <v>9</v>
      </c>
      <c r="B2" s="41">
        <v>0</v>
      </c>
      <c r="C2" s="41">
        <v>20</v>
      </c>
      <c r="D2" s="41">
        <v>6</v>
      </c>
      <c r="E2" s="42">
        <f t="shared" ref="E2:I23" si="0">B2/12</f>
        <v>0</v>
      </c>
      <c r="F2" s="42">
        <f t="shared" ref="F2:F30" si="1">D2/12</f>
        <v>0.5</v>
      </c>
      <c r="G2" s="42">
        <f t="shared" ref="G2:G30" si="2">A2+E2</f>
        <v>9</v>
      </c>
      <c r="H2" s="42">
        <f t="shared" ref="H2:H30" si="3">C2+F2</f>
        <v>20.5</v>
      </c>
      <c r="I2" s="43">
        <f t="shared" ref="I2:I22" si="4">G2*H2</f>
        <v>184.5</v>
      </c>
      <c r="J2" s="43">
        <f>I2</f>
        <v>184.5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10</v>
      </c>
      <c r="B3" s="41">
        <v>9</v>
      </c>
      <c r="C3" s="41">
        <v>15</v>
      </c>
      <c r="D3" s="41">
        <v>0</v>
      </c>
      <c r="E3" s="42">
        <f t="shared" si="0"/>
        <v>0.75</v>
      </c>
      <c r="F3" s="42">
        <f t="shared" si="1"/>
        <v>0</v>
      </c>
      <c r="G3" s="42">
        <f t="shared" si="2"/>
        <v>10.75</v>
      </c>
      <c r="H3" s="42">
        <f t="shared" si="3"/>
        <v>15</v>
      </c>
      <c r="I3" s="43">
        <f t="shared" si="4"/>
        <v>161.25</v>
      </c>
      <c r="J3" s="43">
        <f>J2+I3</f>
        <v>345.75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10</v>
      </c>
      <c r="B4" s="41">
        <v>3</v>
      </c>
      <c r="C4" s="41">
        <v>10</v>
      </c>
      <c r="D4" s="41">
        <v>0</v>
      </c>
      <c r="E4" s="42">
        <f t="shared" si="0"/>
        <v>0.25</v>
      </c>
      <c r="F4" s="42">
        <f t="shared" si="1"/>
        <v>0</v>
      </c>
      <c r="G4" s="42">
        <f t="shared" si="2"/>
        <v>10.25</v>
      </c>
      <c r="H4" s="42">
        <f t="shared" si="3"/>
        <v>10</v>
      </c>
      <c r="I4" s="43">
        <f t="shared" si="4"/>
        <v>102.5</v>
      </c>
      <c r="J4" s="43">
        <f t="shared" ref="J4:J30" si="5">J3+I4</f>
        <v>448.25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4</v>
      </c>
      <c r="B5" s="41">
        <v>6</v>
      </c>
      <c r="C5" s="41">
        <v>5</v>
      </c>
      <c r="D5" s="41">
        <v>6</v>
      </c>
      <c r="E5" s="42">
        <f t="shared" si="0"/>
        <v>0.5</v>
      </c>
      <c r="F5" s="42">
        <f t="shared" si="1"/>
        <v>0.5</v>
      </c>
      <c r="G5" s="42">
        <f t="shared" si="2"/>
        <v>4.5</v>
      </c>
      <c r="H5" s="42">
        <f t="shared" si="3"/>
        <v>5.5</v>
      </c>
      <c r="I5" s="43">
        <f t="shared" si="4"/>
        <v>24.75</v>
      </c>
      <c r="J5" s="43">
        <f t="shared" si="5"/>
        <v>473</v>
      </c>
      <c r="K5" s="44"/>
      <c r="L5" s="44">
        <v>12.43</v>
      </c>
      <c r="M5" s="44">
        <v>12.2</v>
      </c>
      <c r="N5" s="44">
        <f t="shared" ref="N5:N17" si="6">L5*M5</f>
        <v>151.64599999999999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8</v>
      </c>
      <c r="B6" s="41">
        <v>0</v>
      </c>
      <c r="C6" s="41">
        <v>3</v>
      </c>
      <c r="D6" s="41">
        <v>6</v>
      </c>
      <c r="E6" s="42">
        <f t="shared" si="0"/>
        <v>0</v>
      </c>
      <c r="F6" s="42">
        <f t="shared" si="1"/>
        <v>0.5</v>
      </c>
      <c r="G6" s="42">
        <f t="shared" si="2"/>
        <v>8</v>
      </c>
      <c r="H6" s="42">
        <f t="shared" si="3"/>
        <v>3.5</v>
      </c>
      <c r="I6" s="43">
        <f t="shared" si="4"/>
        <v>28</v>
      </c>
      <c r="J6" s="43">
        <f t="shared" si="5"/>
        <v>501</v>
      </c>
      <c r="K6" s="44"/>
      <c r="L6" s="44">
        <v>11.87</v>
      </c>
      <c r="M6" s="44">
        <v>9.36</v>
      </c>
      <c r="N6" s="44">
        <f t="shared" si="6"/>
        <v>111.10319999999999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12</v>
      </c>
      <c r="B7" s="41">
        <v>0</v>
      </c>
      <c r="C7" s="41">
        <v>7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12</v>
      </c>
      <c r="H7" s="42">
        <f t="shared" si="3"/>
        <v>7</v>
      </c>
      <c r="I7" s="43">
        <f t="shared" si="4"/>
        <v>84</v>
      </c>
      <c r="J7" s="43">
        <f t="shared" si="5"/>
        <v>585</v>
      </c>
      <c r="K7" s="44"/>
      <c r="L7" s="44">
        <v>8.93</v>
      </c>
      <c r="M7" s="44">
        <v>8.5399999999999991</v>
      </c>
      <c r="N7" s="60">
        <f t="shared" si="6"/>
        <v>76.262199999999993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8</v>
      </c>
      <c r="B8" s="41">
        <v>0</v>
      </c>
      <c r="C8" s="41">
        <v>3</v>
      </c>
      <c r="D8" s="41">
        <v>6</v>
      </c>
      <c r="E8" s="42">
        <f t="shared" si="0"/>
        <v>0</v>
      </c>
      <c r="F8" s="42">
        <f t="shared" si="1"/>
        <v>0.5</v>
      </c>
      <c r="G8" s="42">
        <f t="shared" si="2"/>
        <v>8</v>
      </c>
      <c r="H8" s="42">
        <f t="shared" si="3"/>
        <v>3.5</v>
      </c>
      <c r="I8" s="43">
        <f t="shared" si="4"/>
        <v>28</v>
      </c>
      <c r="J8" s="43">
        <f t="shared" si="5"/>
        <v>613</v>
      </c>
      <c r="K8" s="44"/>
      <c r="L8" s="44">
        <v>2.89</v>
      </c>
      <c r="M8" s="44">
        <v>15.4</v>
      </c>
      <c r="N8" s="44">
        <f t="shared" si="6"/>
        <v>44.506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10</v>
      </c>
      <c r="B9" s="41">
        <v>3</v>
      </c>
      <c r="C9" s="41">
        <v>10</v>
      </c>
      <c r="D9" s="41">
        <v>0</v>
      </c>
      <c r="E9" s="42">
        <f t="shared" si="0"/>
        <v>0.25</v>
      </c>
      <c r="F9" s="42">
        <f t="shared" si="1"/>
        <v>0</v>
      </c>
      <c r="G9" s="42">
        <f t="shared" si="2"/>
        <v>10.25</v>
      </c>
      <c r="H9" s="42">
        <f t="shared" si="3"/>
        <v>10</v>
      </c>
      <c r="I9" s="43">
        <f t="shared" si="4"/>
        <v>102.5</v>
      </c>
      <c r="J9" s="43">
        <f t="shared" si="5"/>
        <v>715.5</v>
      </c>
      <c r="K9" s="44"/>
      <c r="L9" s="44">
        <v>9.94</v>
      </c>
      <c r="M9" s="44">
        <v>10.72</v>
      </c>
      <c r="N9" s="44">
        <f t="shared" si="6"/>
        <v>106.5568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4</v>
      </c>
      <c r="B10" s="41">
        <v>6</v>
      </c>
      <c r="C10" s="41">
        <v>5</v>
      </c>
      <c r="D10" s="41">
        <v>6</v>
      </c>
      <c r="E10" s="42">
        <f t="shared" si="0"/>
        <v>0.5</v>
      </c>
      <c r="F10" s="42">
        <f t="shared" si="1"/>
        <v>0.5</v>
      </c>
      <c r="G10" s="42">
        <f t="shared" si="2"/>
        <v>4.5</v>
      </c>
      <c r="H10" s="42">
        <f t="shared" si="3"/>
        <v>5.5</v>
      </c>
      <c r="I10" s="43">
        <f t="shared" si="4"/>
        <v>24.75</v>
      </c>
      <c r="J10" s="43">
        <f t="shared" si="5"/>
        <v>740.25</v>
      </c>
      <c r="K10" s="44"/>
      <c r="L10" s="44">
        <v>5.12</v>
      </c>
      <c r="M10" s="44">
        <v>9.98</v>
      </c>
      <c r="N10" s="60">
        <f t="shared" si="6"/>
        <v>51.0976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740.25</v>
      </c>
      <c r="K11" s="44"/>
      <c r="L11" s="44">
        <v>7.81</v>
      </c>
      <c r="M11" s="44">
        <v>3.52</v>
      </c>
      <c r="N11" s="44">
        <f t="shared" si="6"/>
        <v>27.491199999999999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740.25</v>
      </c>
      <c r="K12" s="44"/>
      <c r="L12" s="44">
        <v>11.78</v>
      </c>
      <c r="M12" s="44">
        <v>6.54</v>
      </c>
      <c r="N12" s="44">
        <f t="shared" si="6"/>
        <v>77.041199999999989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740.25</v>
      </c>
      <c r="K13" s="44"/>
      <c r="L13" s="44">
        <v>2.8</v>
      </c>
      <c r="M13" s="44">
        <v>5.38</v>
      </c>
      <c r="N13" s="44">
        <f t="shared" si="6"/>
        <v>15.063999999999998</v>
      </c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740.25</v>
      </c>
      <c r="K14" s="44"/>
      <c r="L14" s="44">
        <v>2.2000000000000002</v>
      </c>
      <c r="M14" s="44">
        <v>3.44</v>
      </c>
      <c r="N14" s="44">
        <f t="shared" si="6"/>
        <v>7.5680000000000005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740.25</v>
      </c>
      <c r="K15" s="44"/>
      <c r="L15" s="44">
        <v>5.76</v>
      </c>
      <c r="M15" s="44">
        <v>3.8</v>
      </c>
      <c r="N15" s="44">
        <f t="shared" si="6"/>
        <v>21.887999999999998</v>
      </c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740.25</v>
      </c>
      <c r="K16" s="44"/>
      <c r="L16" s="44">
        <v>10.69</v>
      </c>
      <c r="M16" s="44">
        <v>9.7799999999999994</v>
      </c>
      <c r="N16" s="44">
        <f t="shared" si="6"/>
        <v>104.54819999999999</v>
      </c>
      <c r="O16" s="44"/>
      <c r="P16" s="44"/>
      <c r="Q16" s="44"/>
      <c r="R16" s="45"/>
    </row>
    <row r="17" spans="1:23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740.25</v>
      </c>
      <c r="K17" s="44"/>
      <c r="L17" s="44">
        <v>5.07</v>
      </c>
      <c r="M17" s="44">
        <v>9.77</v>
      </c>
      <c r="N17" s="60">
        <f t="shared" si="6"/>
        <v>49.533900000000003</v>
      </c>
      <c r="O17" s="44">
        <f>N7+N10+N17</f>
        <v>176.8937</v>
      </c>
      <c r="P17" s="44"/>
      <c r="Q17" s="44"/>
      <c r="R17" s="45"/>
    </row>
    <row r="18" spans="1:23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740.25</v>
      </c>
      <c r="K18" s="44"/>
      <c r="L18" s="44"/>
      <c r="M18" s="44"/>
      <c r="N18" s="44">
        <f>SUM(N5:N17)</f>
        <v>844.30629999999996</v>
      </c>
      <c r="O18" s="44">
        <f>N18-O17</f>
        <v>667.4126</v>
      </c>
      <c r="P18" s="44"/>
      <c r="Q18" s="44"/>
      <c r="R18" s="45"/>
    </row>
    <row r="19" spans="1:23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740.25</v>
      </c>
      <c r="K19" s="44"/>
      <c r="L19" s="44"/>
      <c r="M19" s="44"/>
      <c r="N19" s="44"/>
      <c r="O19" s="44"/>
      <c r="P19" s="44"/>
      <c r="Q19" s="44"/>
      <c r="R19" s="45"/>
    </row>
    <row r="20" spans="1:23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740.25</v>
      </c>
      <c r="K20" s="44"/>
      <c r="L20" s="44">
        <v>3.95</v>
      </c>
      <c r="M20" s="44">
        <v>3.59</v>
      </c>
      <c r="N20" s="44">
        <f>L20*M20</f>
        <v>14.1805</v>
      </c>
      <c r="O20" s="44"/>
      <c r="P20" s="52"/>
      <c r="Q20" s="52"/>
      <c r="R20" s="45"/>
    </row>
    <row r="21" spans="1:23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740.25</v>
      </c>
      <c r="K21" s="44"/>
      <c r="L21" s="44">
        <v>2.7</v>
      </c>
      <c r="M21" s="44">
        <v>4.03</v>
      </c>
      <c r="N21" s="44">
        <f>L21*M21</f>
        <v>10.881000000000002</v>
      </c>
      <c r="O21" s="44"/>
      <c r="P21" s="44"/>
      <c r="Q21" s="44"/>
      <c r="R21" s="45"/>
      <c r="S21" s="8"/>
      <c r="U21" s="2"/>
    </row>
    <row r="22" spans="1:23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740.25</v>
      </c>
      <c r="K22" s="44"/>
      <c r="L22" s="44">
        <v>1.67</v>
      </c>
      <c r="M22" s="44">
        <v>5.4</v>
      </c>
      <c r="N22" s="44">
        <f t="shared" ref="N22:N29" si="7">L22*M22</f>
        <v>9.0180000000000007</v>
      </c>
      <c r="O22" s="44"/>
      <c r="P22" s="44"/>
      <c r="Q22" s="44"/>
      <c r="R22" s="45"/>
    </row>
    <row r="23" spans="1:23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740.25</v>
      </c>
      <c r="K23" s="44"/>
      <c r="L23" s="44">
        <v>3.12</v>
      </c>
      <c r="M23" s="44">
        <v>3.04</v>
      </c>
      <c r="N23" s="44">
        <f t="shared" si="7"/>
        <v>9.4847999999999999</v>
      </c>
      <c r="O23" s="44"/>
      <c r="P23" s="44"/>
      <c r="Q23" s="44"/>
      <c r="R23" s="45"/>
    </row>
    <row r="24" spans="1:23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8">B24/12</f>
        <v>0</v>
      </c>
      <c r="F24" s="51">
        <f t="shared" si="8"/>
        <v>0</v>
      </c>
      <c r="G24" s="51">
        <f t="shared" si="8"/>
        <v>0</v>
      </c>
      <c r="H24" s="51">
        <f t="shared" si="8"/>
        <v>0</v>
      </c>
      <c r="I24" s="51">
        <f t="shared" si="8"/>
        <v>0</v>
      </c>
      <c r="J24" s="43">
        <f t="shared" si="5"/>
        <v>740.25</v>
      </c>
      <c r="K24" s="44"/>
      <c r="L24" s="44">
        <v>2.5</v>
      </c>
      <c r="M24" s="53">
        <v>1.54</v>
      </c>
      <c r="N24" s="44">
        <f t="shared" si="7"/>
        <v>3.85</v>
      </c>
      <c r="O24" s="50"/>
      <c r="P24" s="44"/>
      <c r="Q24" s="44"/>
      <c r="R24" s="50"/>
    </row>
    <row r="25" spans="1:23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8"/>
        <v>0</v>
      </c>
      <c r="F25" s="51">
        <f t="shared" si="8"/>
        <v>0</v>
      </c>
      <c r="G25" s="51">
        <f t="shared" si="8"/>
        <v>0</v>
      </c>
      <c r="H25" s="51">
        <f t="shared" si="8"/>
        <v>0</v>
      </c>
      <c r="I25" s="51">
        <f t="shared" si="8"/>
        <v>0</v>
      </c>
      <c r="J25" s="43">
        <f t="shared" si="5"/>
        <v>740.25</v>
      </c>
      <c r="K25" s="44"/>
      <c r="L25" s="44">
        <v>3.65</v>
      </c>
      <c r="M25" s="53">
        <v>2.12</v>
      </c>
      <c r="N25" s="44">
        <f t="shared" si="7"/>
        <v>7.7380000000000004</v>
      </c>
      <c r="O25" s="44"/>
      <c r="P25" s="44"/>
      <c r="Q25" s="44"/>
      <c r="R25" s="44"/>
    </row>
    <row r="26" spans="1:23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8"/>
        <v>0</v>
      </c>
      <c r="F26" s="51">
        <f t="shared" si="8"/>
        <v>0</v>
      </c>
      <c r="G26" s="51">
        <f t="shared" si="8"/>
        <v>0</v>
      </c>
      <c r="H26" s="51">
        <f t="shared" si="8"/>
        <v>0</v>
      </c>
      <c r="I26" s="51">
        <f t="shared" si="8"/>
        <v>0</v>
      </c>
      <c r="J26" s="43">
        <f t="shared" si="5"/>
        <v>740.25</v>
      </c>
      <c r="K26" s="44"/>
      <c r="L26" s="44">
        <v>2.5</v>
      </c>
      <c r="M26" s="53">
        <v>1.04</v>
      </c>
      <c r="N26" s="44">
        <f t="shared" si="7"/>
        <v>2.6</v>
      </c>
      <c r="O26" s="44"/>
      <c r="P26" s="44"/>
      <c r="Q26" s="44"/>
      <c r="R26" s="44"/>
    </row>
    <row r="27" spans="1:23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8"/>
        <v>0</v>
      </c>
      <c r="F27" s="51">
        <f t="shared" si="8"/>
        <v>0</v>
      </c>
      <c r="G27" s="51">
        <f t="shared" si="8"/>
        <v>0</v>
      </c>
      <c r="H27" s="51">
        <f t="shared" si="8"/>
        <v>0</v>
      </c>
      <c r="I27" s="51">
        <f t="shared" si="8"/>
        <v>0</v>
      </c>
      <c r="J27" s="43">
        <f t="shared" si="5"/>
        <v>740.25</v>
      </c>
      <c r="K27" s="44"/>
      <c r="L27" s="44">
        <v>3.12</v>
      </c>
      <c r="M27" s="44">
        <v>3.04</v>
      </c>
      <c r="N27" s="44">
        <f t="shared" si="7"/>
        <v>9.4847999999999999</v>
      </c>
      <c r="O27" s="44"/>
      <c r="P27" s="44"/>
      <c r="Q27" s="44"/>
      <c r="R27" s="44"/>
      <c r="W27" t="s">
        <v>89</v>
      </c>
    </row>
    <row r="28" spans="1:23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8"/>
        <v>0</v>
      </c>
      <c r="F28" s="51">
        <f t="shared" si="8"/>
        <v>0</v>
      </c>
      <c r="G28" s="51">
        <f t="shared" si="8"/>
        <v>0</v>
      </c>
      <c r="H28" s="51">
        <f t="shared" si="8"/>
        <v>0</v>
      </c>
      <c r="I28" s="51">
        <f t="shared" si="8"/>
        <v>0</v>
      </c>
      <c r="J28" s="43">
        <f t="shared" si="5"/>
        <v>740.25</v>
      </c>
      <c r="K28" s="44"/>
      <c r="L28" s="44">
        <v>1.2</v>
      </c>
      <c r="M28" s="44">
        <v>1.52</v>
      </c>
      <c r="N28" s="44">
        <f t="shared" si="7"/>
        <v>1.8239999999999998</v>
      </c>
      <c r="O28" s="44"/>
      <c r="P28" s="44"/>
      <c r="Q28" s="44"/>
      <c r="R28" s="44"/>
      <c r="W28">
        <v>869</v>
      </c>
    </row>
    <row r="29" spans="1:23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8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9">G29*H29</f>
        <v>0</v>
      </c>
      <c r="J29" s="43">
        <f t="shared" si="5"/>
        <v>740.25</v>
      </c>
      <c r="K29" s="44"/>
      <c r="L29" s="44">
        <v>1.2</v>
      </c>
      <c r="M29" s="44">
        <v>1.52</v>
      </c>
      <c r="N29" s="44">
        <f t="shared" si="7"/>
        <v>1.8239999999999998</v>
      </c>
      <c r="O29" s="44"/>
      <c r="P29" s="54"/>
      <c r="Q29" s="54"/>
      <c r="R29" s="44"/>
      <c r="W29">
        <f>W28/1.2</f>
        <v>724.16666666666674</v>
      </c>
    </row>
    <row r="30" spans="1:23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8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9"/>
        <v>0</v>
      </c>
      <c r="J30" s="43">
        <f t="shared" si="5"/>
        <v>740.25</v>
      </c>
      <c r="K30" s="44"/>
      <c r="L30" s="44"/>
      <c r="M30" s="44"/>
      <c r="N30" s="44">
        <f>SUM(N20:N29)</f>
        <v>70.885099999999994</v>
      </c>
      <c r="O30" s="44">
        <f>N30*10.764</f>
        <v>763.00721639999995</v>
      </c>
      <c r="P30" s="55">
        <f>O30-N18</f>
        <v>-81.299083600000017</v>
      </c>
      <c r="Q30" s="55"/>
      <c r="R30" s="44"/>
    </row>
    <row r="31" spans="1:23" x14ac:dyDescent="0.25">
      <c r="L31" s="74"/>
      <c r="N31" s="44"/>
    </row>
    <row r="32" spans="1:23" x14ac:dyDescent="0.25">
      <c r="L32" s="74"/>
      <c r="N32" s="44"/>
    </row>
    <row r="33" spans="12:17" x14ac:dyDescent="0.25">
      <c r="L33" s="74"/>
      <c r="N33" s="44"/>
      <c r="P33" s="56"/>
      <c r="Q33" s="56"/>
    </row>
    <row r="34" spans="12:17" x14ac:dyDescent="0.25">
      <c r="L34" s="74"/>
      <c r="M34" s="6"/>
      <c r="N34" s="44"/>
    </row>
    <row r="35" spans="12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D8" sqref="D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9"/>
      <c r="C3" s="20">
        <v>37000</v>
      </c>
      <c r="D3" s="23" t="s">
        <v>76</v>
      </c>
      <c r="E3" s="6" t="s">
        <v>72</v>
      </c>
    </row>
    <row r="4" spans="1:5" ht="30" x14ac:dyDescent="0.25">
      <c r="A4" s="22" t="s">
        <v>14</v>
      </c>
      <c r="B4" s="19"/>
      <c r="C4" s="20">
        <v>2700</v>
      </c>
      <c r="D4" s="23"/>
    </row>
    <row r="5" spans="1:5" x14ac:dyDescent="0.25">
      <c r="A5" s="15" t="s">
        <v>15</v>
      </c>
      <c r="B5" s="19"/>
      <c r="C5" s="20">
        <f>C3-C4</f>
        <v>34300</v>
      </c>
      <c r="D5" s="23"/>
    </row>
    <row r="6" spans="1:5" x14ac:dyDescent="0.25">
      <c r="A6" s="15" t="s">
        <v>16</v>
      </c>
      <c r="B6" s="19"/>
      <c r="C6" s="20">
        <f>C4</f>
        <v>2700</v>
      </c>
      <c r="D6" s="23"/>
    </row>
    <row r="7" spans="1:5" x14ac:dyDescent="0.25">
      <c r="A7" s="15" t="s">
        <v>17</v>
      </c>
      <c r="B7" s="24"/>
      <c r="C7" s="25">
        <f>D7-D8</f>
        <v>44</v>
      </c>
      <c r="D7" s="25">
        <v>2024</v>
      </c>
    </row>
    <row r="8" spans="1:5" x14ac:dyDescent="0.25">
      <c r="A8" s="15" t="s">
        <v>18</v>
      </c>
      <c r="B8" s="24"/>
      <c r="C8" s="25">
        <f>C9-C7</f>
        <v>16</v>
      </c>
      <c r="D8" s="25">
        <v>1980</v>
      </c>
    </row>
    <row r="9" spans="1:5" x14ac:dyDescent="0.25">
      <c r="A9" s="15" t="s">
        <v>19</v>
      </c>
      <c r="B9" s="24"/>
      <c r="C9" s="25">
        <v>60</v>
      </c>
      <c r="D9" s="25"/>
    </row>
    <row r="10" spans="1:5" ht="30" x14ac:dyDescent="0.25">
      <c r="A10" s="22" t="s">
        <v>20</v>
      </c>
      <c r="B10" s="24"/>
      <c r="C10" s="25">
        <f>90*C7/C9</f>
        <v>66</v>
      </c>
      <c r="D10" s="25"/>
    </row>
    <row r="11" spans="1:5" x14ac:dyDescent="0.25">
      <c r="A11" s="15"/>
      <c r="B11" s="26"/>
      <c r="C11" s="27">
        <f>C10%</f>
        <v>0.66</v>
      </c>
      <c r="D11" s="27"/>
    </row>
    <row r="12" spans="1:5" x14ac:dyDescent="0.25">
      <c r="A12" s="15" t="s">
        <v>21</v>
      </c>
      <c r="B12" s="19"/>
      <c r="C12" s="20">
        <f>C6*C11</f>
        <v>1782</v>
      </c>
      <c r="D12" s="18"/>
    </row>
    <row r="13" spans="1:5" x14ac:dyDescent="0.25">
      <c r="A13" s="15" t="s">
        <v>22</v>
      </c>
      <c r="B13" s="19"/>
      <c r="C13" s="20">
        <f>C6-C12</f>
        <v>918</v>
      </c>
      <c r="D13" s="18"/>
    </row>
    <row r="14" spans="1:5" x14ac:dyDescent="0.25">
      <c r="A14" s="15" t="s">
        <v>15</v>
      </c>
      <c r="B14" s="19"/>
      <c r="C14" s="20">
        <f>C5</f>
        <v>34300</v>
      </c>
      <c r="D14" s="18"/>
    </row>
    <row r="15" spans="1:5" x14ac:dyDescent="0.25">
      <c r="B15" s="19"/>
      <c r="C15" s="20"/>
      <c r="D15" s="18"/>
    </row>
    <row r="16" spans="1:5" x14ac:dyDescent="0.25">
      <c r="A16" s="28" t="s">
        <v>23</v>
      </c>
      <c r="B16" s="29"/>
      <c r="C16" s="21">
        <f>C14+C13</f>
        <v>35218</v>
      </c>
      <c r="D16" s="18"/>
    </row>
    <row r="17" spans="1:4" x14ac:dyDescent="0.25">
      <c r="B17" s="24"/>
      <c r="C17" s="25"/>
      <c r="D17" s="18"/>
    </row>
    <row r="18" spans="1:4" x14ac:dyDescent="0.25">
      <c r="A18" s="73" t="str">
        <f>E3</f>
        <v>ABUA</v>
      </c>
      <c r="B18" s="7"/>
      <c r="C18" s="30">
        <v>869</v>
      </c>
      <c r="D18" s="18"/>
    </row>
    <row r="19" spans="1:4" x14ac:dyDescent="0.25">
      <c r="A19" s="15" t="s">
        <v>100</v>
      </c>
      <c r="B19" s="6"/>
      <c r="C19" s="31">
        <f>C18*C16</f>
        <v>30604442</v>
      </c>
      <c r="D19" s="32"/>
    </row>
    <row r="20" spans="1:4" x14ac:dyDescent="0.25">
      <c r="A20" s="15" t="s">
        <v>101</v>
      </c>
      <c r="C20" s="33">
        <f>C19*90%</f>
        <v>27543997.800000001</v>
      </c>
      <c r="D20" s="18"/>
    </row>
    <row r="21" spans="1:4" x14ac:dyDescent="0.25">
      <c r="A21" s="15" t="s">
        <v>102</v>
      </c>
      <c r="C21" s="33">
        <f>C19*80%</f>
        <v>24483553.600000001</v>
      </c>
      <c r="D21" s="18"/>
    </row>
    <row r="22" spans="1:4" x14ac:dyDescent="0.25">
      <c r="A22" s="15"/>
      <c r="D22" s="34"/>
    </row>
    <row r="23" spans="1:4" x14ac:dyDescent="0.25">
      <c r="A23" s="35" t="s">
        <v>26</v>
      </c>
      <c r="B23" s="36"/>
      <c r="C23" s="37">
        <f>C4*C18</f>
        <v>2346300</v>
      </c>
      <c r="D23"/>
    </row>
    <row r="24" spans="1:4" x14ac:dyDescent="0.25">
      <c r="A24" s="15" t="s">
        <v>27</v>
      </c>
      <c r="D24"/>
    </row>
    <row r="25" spans="1:4" x14ac:dyDescent="0.25">
      <c r="A25" s="38" t="s">
        <v>28</v>
      </c>
      <c r="B25" s="16"/>
      <c r="C25" s="33">
        <f>C19*0.025/12</f>
        <v>63759.254166666673</v>
      </c>
      <c r="D25"/>
    </row>
    <row r="26" spans="1:4" x14ac:dyDescent="0.25">
      <c r="C26" s="33"/>
      <c r="D26"/>
    </row>
    <row r="27" spans="1:4" x14ac:dyDescent="0.25">
      <c r="C27" s="33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7"/>
  <sheetViews>
    <sheetView topLeftCell="A13" workbookViewId="0">
      <selection activeCell="I44" sqref="I4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683.33333333333337</v>
      </c>
      <c r="C2" s="4">
        <f t="shared" ref="C2:C16" si="1">B2*1.2</f>
        <v>820</v>
      </c>
      <c r="D2" s="4">
        <f t="shared" ref="D2:D16" si="2">C2*1.2</f>
        <v>984</v>
      </c>
      <c r="E2" s="5">
        <f t="shared" ref="E2:E16" si="3">R2</f>
        <v>28900000</v>
      </c>
      <c r="F2" s="4">
        <f t="shared" ref="F2:F15" si="4">ROUND((E2/B2),0)</f>
        <v>42293</v>
      </c>
      <c r="G2" s="79">
        <f t="shared" ref="G2:G15" si="5">ROUND((E2/C2),0)</f>
        <v>35244</v>
      </c>
      <c r="H2" s="79">
        <f t="shared" ref="H2:H15" si="6">ROUND((E2/D2),0)</f>
        <v>29370</v>
      </c>
      <c r="I2" s="79">
        <f t="shared" ref="I2:I15" si="7">T2</f>
        <v>0</v>
      </c>
      <c r="J2" s="79">
        <f t="shared" ref="J2:J15" si="8">U2</f>
        <v>0</v>
      </c>
      <c r="K2" s="7"/>
      <c r="L2" s="7"/>
      <c r="M2" s="7"/>
      <c r="N2" s="7"/>
      <c r="O2" s="7">
        <v>0</v>
      </c>
      <c r="P2" s="7">
        <f>820</f>
        <v>820</v>
      </c>
      <c r="Q2" s="7">
        <f t="shared" ref="Q2:Q10" si="9">P2/1.2</f>
        <v>683.33333333333337</v>
      </c>
      <c r="R2" s="80">
        <v>28900000</v>
      </c>
      <c r="S2" s="80" t="s">
        <v>84</v>
      </c>
    </row>
    <row r="3" spans="1:19" x14ac:dyDescent="0.25">
      <c r="A3" s="4">
        <v>2</v>
      </c>
      <c r="B3" s="4">
        <f t="shared" si="0"/>
        <v>752</v>
      </c>
      <c r="C3" s="4">
        <f t="shared" si="1"/>
        <v>902.4</v>
      </c>
      <c r="D3" s="4">
        <f t="shared" si="2"/>
        <v>1082.8799999999999</v>
      </c>
      <c r="E3" s="5">
        <f t="shared" si="3"/>
        <v>43800000</v>
      </c>
      <c r="F3" s="4">
        <f t="shared" si="4"/>
        <v>58245</v>
      </c>
      <c r="G3" s="4">
        <f t="shared" si="5"/>
        <v>48537</v>
      </c>
      <c r="H3" s="4">
        <f t="shared" si="6"/>
        <v>40448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752</v>
      </c>
      <c r="R3" s="2">
        <v>43800000</v>
      </c>
      <c r="S3" s="2" t="s">
        <v>85</v>
      </c>
    </row>
    <row r="4" spans="1:19" x14ac:dyDescent="0.25">
      <c r="A4" s="4">
        <v>3</v>
      </c>
      <c r="B4" s="4">
        <f t="shared" si="0"/>
        <v>1240</v>
      </c>
      <c r="C4" s="4">
        <f t="shared" si="1"/>
        <v>1488</v>
      </c>
      <c r="D4" s="4">
        <f t="shared" si="2"/>
        <v>1785.6</v>
      </c>
      <c r="E4" s="5">
        <f t="shared" si="3"/>
        <v>53500000</v>
      </c>
      <c r="F4" s="4">
        <f t="shared" si="4"/>
        <v>43145</v>
      </c>
      <c r="G4" s="4">
        <f t="shared" si="5"/>
        <v>35954</v>
      </c>
      <c r="H4" s="4">
        <f t="shared" si="6"/>
        <v>29962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1240</v>
      </c>
      <c r="R4" s="2">
        <v>53500000</v>
      </c>
      <c r="S4" s="2" t="s">
        <v>99</v>
      </c>
    </row>
    <row r="5" spans="1:19" x14ac:dyDescent="0.25">
      <c r="A5" s="4">
        <v>4</v>
      </c>
      <c r="B5" s="4">
        <f t="shared" si="0"/>
        <v>749</v>
      </c>
      <c r="C5" s="4">
        <f t="shared" si="1"/>
        <v>898.8</v>
      </c>
      <c r="D5" s="4">
        <f t="shared" si="2"/>
        <v>1078.56</v>
      </c>
      <c r="E5" s="5">
        <f t="shared" si="3"/>
        <v>39000000</v>
      </c>
      <c r="F5" s="4">
        <f t="shared" si="4"/>
        <v>52069</v>
      </c>
      <c r="G5" s="4">
        <f t="shared" si="5"/>
        <v>43391</v>
      </c>
      <c r="H5" s="4">
        <f t="shared" si="6"/>
        <v>36159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749</v>
      </c>
      <c r="R5" s="2">
        <v>39000000</v>
      </c>
      <c r="S5" s="2"/>
    </row>
    <row r="6" spans="1:19" x14ac:dyDescent="0.25">
      <c r="A6" s="4">
        <v>5</v>
      </c>
      <c r="B6" s="4">
        <f t="shared" si="0"/>
        <v>645.83333333333337</v>
      </c>
      <c r="C6" s="4">
        <f t="shared" si="1"/>
        <v>775</v>
      </c>
      <c r="D6" s="4">
        <f t="shared" si="2"/>
        <v>930</v>
      </c>
      <c r="E6" s="5">
        <f t="shared" si="3"/>
        <v>27000000</v>
      </c>
      <c r="F6" s="4">
        <f t="shared" si="4"/>
        <v>41806</v>
      </c>
      <c r="G6" s="79">
        <f t="shared" si="5"/>
        <v>34839</v>
      </c>
      <c r="H6" s="79">
        <f t="shared" si="6"/>
        <v>29032</v>
      </c>
      <c r="I6" s="79">
        <f t="shared" si="7"/>
        <v>0</v>
      </c>
      <c r="J6" s="79">
        <f t="shared" si="8"/>
        <v>0</v>
      </c>
      <c r="K6" s="7"/>
      <c r="L6" s="7"/>
      <c r="M6" s="7"/>
      <c r="N6" s="7"/>
      <c r="O6" s="7">
        <v>0</v>
      </c>
      <c r="P6" s="7">
        <v>775</v>
      </c>
      <c r="Q6" s="7">
        <f t="shared" si="9"/>
        <v>645.83333333333337</v>
      </c>
      <c r="R6" s="80">
        <v>27000000</v>
      </c>
      <c r="S6" s="2"/>
    </row>
    <row r="7" spans="1:19" x14ac:dyDescent="0.25">
      <c r="A7" s="4">
        <v>6</v>
      </c>
      <c r="B7" s="4">
        <f t="shared" si="0"/>
        <v>640</v>
      </c>
      <c r="C7" s="4">
        <f t="shared" si="1"/>
        <v>768</v>
      </c>
      <c r="D7" s="4">
        <f t="shared" si="2"/>
        <v>921.59999999999991</v>
      </c>
      <c r="E7" s="5">
        <f t="shared" si="3"/>
        <v>30000000</v>
      </c>
      <c r="F7" s="4">
        <f t="shared" si="4"/>
        <v>46875</v>
      </c>
      <c r="G7" s="79">
        <f t="shared" si="5"/>
        <v>39063</v>
      </c>
      <c r="H7" s="79">
        <f t="shared" si="6"/>
        <v>32552</v>
      </c>
      <c r="I7" s="79">
        <f t="shared" si="7"/>
        <v>0</v>
      </c>
      <c r="J7" s="79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640</v>
      </c>
      <c r="R7" s="80">
        <v>30000000</v>
      </c>
      <c r="S7" s="2"/>
    </row>
    <row r="8" spans="1:19" x14ac:dyDescent="0.25">
      <c r="A8" s="4">
        <v>7</v>
      </c>
      <c r="B8" s="4">
        <f t="shared" si="0"/>
        <v>833.33333333333337</v>
      </c>
      <c r="C8" s="4">
        <f t="shared" si="1"/>
        <v>1000</v>
      </c>
      <c r="D8" s="4">
        <f t="shared" si="2"/>
        <v>1200</v>
      </c>
      <c r="E8" s="5">
        <f t="shared" si="3"/>
        <v>35000000</v>
      </c>
      <c r="F8" s="4">
        <f t="shared" si="4"/>
        <v>42000</v>
      </c>
      <c r="G8" s="79">
        <f t="shared" si="5"/>
        <v>35000</v>
      </c>
      <c r="H8" s="79">
        <f t="shared" si="6"/>
        <v>29167</v>
      </c>
      <c r="I8" s="79">
        <f t="shared" si="7"/>
        <v>0</v>
      </c>
      <c r="J8" s="79">
        <f t="shared" si="8"/>
        <v>0</v>
      </c>
      <c r="K8" s="7"/>
      <c r="L8" s="7"/>
      <c r="M8" s="7"/>
      <c r="N8" s="7"/>
      <c r="O8" s="7">
        <v>0</v>
      </c>
      <c r="P8" s="7">
        <v>1000</v>
      </c>
      <c r="Q8" s="7">
        <f t="shared" si="9"/>
        <v>833.33333333333337</v>
      </c>
      <c r="R8" s="80">
        <v>35000000</v>
      </c>
      <c r="S8" s="2"/>
    </row>
    <row r="9" spans="1:19" x14ac:dyDescent="0.25">
      <c r="A9" s="4">
        <v>8</v>
      </c>
      <c r="B9" s="4">
        <f t="shared" si="0"/>
        <v>675</v>
      </c>
      <c r="C9" s="4">
        <f t="shared" si="1"/>
        <v>810</v>
      </c>
      <c r="D9" s="4">
        <f t="shared" si="2"/>
        <v>972</v>
      </c>
      <c r="E9" s="5">
        <f t="shared" si="3"/>
        <v>30000000</v>
      </c>
      <c r="F9" s="4">
        <f t="shared" si="4"/>
        <v>44444</v>
      </c>
      <c r="G9" s="79">
        <f t="shared" si="5"/>
        <v>37037</v>
      </c>
      <c r="H9" s="79">
        <f t="shared" si="6"/>
        <v>30864</v>
      </c>
      <c r="I9" s="79">
        <f t="shared" si="7"/>
        <v>0</v>
      </c>
      <c r="J9" s="79">
        <f t="shared" si="8"/>
        <v>0</v>
      </c>
      <c r="K9" s="7"/>
      <c r="L9" s="7"/>
      <c r="M9" s="7"/>
      <c r="N9" s="7"/>
      <c r="O9" s="7">
        <v>0</v>
      </c>
      <c r="P9" s="7">
        <v>810</v>
      </c>
      <c r="Q9" s="7">
        <f t="shared" si="9"/>
        <v>675</v>
      </c>
      <c r="R9" s="80">
        <v>30000000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0"/>
    </row>
    <row r="25" spans="1:19" s="10" customFormat="1" x14ac:dyDescent="0.25">
      <c r="F25" s="71"/>
    </row>
    <row r="26" spans="1:19" s="10" customFormat="1" x14ac:dyDescent="0.25">
      <c r="F26" s="71"/>
    </row>
    <row r="27" spans="1:19" s="10" customFormat="1" x14ac:dyDescent="0.25">
      <c r="F27" s="54" t="s">
        <v>71</v>
      </c>
      <c r="G27" s="54">
        <v>844</v>
      </c>
    </row>
    <row r="28" spans="1:19" s="10" customFormat="1" x14ac:dyDescent="0.25">
      <c r="C28" s="69" t="s">
        <v>75</v>
      </c>
      <c r="D28" s="69"/>
      <c r="F28" s="59" t="s">
        <v>72</v>
      </c>
      <c r="G28" s="59">
        <v>600</v>
      </c>
    </row>
    <row r="29" spans="1:19" s="10" customFormat="1" x14ac:dyDescent="0.25">
      <c r="C29" s="69" t="s">
        <v>1</v>
      </c>
      <c r="D29" s="69"/>
      <c r="F29" s="54" t="s">
        <v>72</v>
      </c>
      <c r="G29" s="54">
        <v>869</v>
      </c>
      <c r="H29" s="10">
        <f>G29/G28</f>
        <v>1.4483333333333333</v>
      </c>
    </row>
    <row r="30" spans="1:19" s="10" customFormat="1" x14ac:dyDescent="0.25">
      <c r="F30" s="54" t="s">
        <v>73</v>
      </c>
      <c r="G30" s="54">
        <v>35500</v>
      </c>
    </row>
    <row r="31" spans="1:19" s="10" customFormat="1" x14ac:dyDescent="0.25">
      <c r="C31" s="75" t="s">
        <v>86</v>
      </c>
      <c r="D31" s="75"/>
      <c r="F31" s="72" t="s">
        <v>74</v>
      </c>
      <c r="G31" s="72">
        <f>G29*G30</f>
        <v>30849500</v>
      </c>
      <c r="H31" s="10" t="e">
        <f>G31/D29</f>
        <v>#DIV/0!</v>
      </c>
    </row>
    <row r="32" spans="1:19" s="10" customFormat="1" x14ac:dyDescent="0.25">
      <c r="C32" s="75" t="s">
        <v>87</v>
      </c>
      <c r="D32" s="75">
        <v>600</v>
      </c>
      <c r="F32" s="72" t="s">
        <v>24</v>
      </c>
      <c r="G32" s="72">
        <f>G31*90%</f>
        <v>27764550</v>
      </c>
    </row>
    <row r="33" spans="3:10" s="10" customFormat="1" x14ac:dyDescent="0.25">
      <c r="C33" s="75" t="s">
        <v>88</v>
      </c>
      <c r="D33" s="75">
        <v>40000</v>
      </c>
      <c r="F33" s="72" t="s">
        <v>25</v>
      </c>
      <c r="G33" s="72">
        <f>G31*80%</f>
        <v>24679600</v>
      </c>
    </row>
    <row r="34" spans="3:10" s="10" customFormat="1" x14ac:dyDescent="0.25">
      <c r="C34" s="75" t="s">
        <v>74</v>
      </c>
      <c r="D34" s="75">
        <f>D32*D33</f>
        <v>24000000</v>
      </c>
    </row>
    <row r="35" spans="3:10" s="10" customFormat="1" x14ac:dyDescent="0.25">
      <c r="C35" s="72"/>
      <c r="D35" s="72"/>
    </row>
    <row r="36" spans="3:10" s="10" customFormat="1" x14ac:dyDescent="0.25">
      <c r="F36" s="10" t="s">
        <v>90</v>
      </c>
      <c r="G36" s="10" t="s">
        <v>93</v>
      </c>
      <c r="H36" s="10" t="s">
        <v>94</v>
      </c>
    </row>
    <row r="37" spans="3:10" s="10" customFormat="1" x14ac:dyDescent="0.25">
      <c r="F37" s="10" t="s">
        <v>91</v>
      </c>
      <c r="G37" s="10">
        <f>48.2*10.764</f>
        <v>518.82479999999998</v>
      </c>
      <c r="H37" s="10">
        <f>57.84*10.764</f>
        <v>622.58975999999996</v>
      </c>
      <c r="I37" s="10">
        <f>H37/G37</f>
        <v>1.2</v>
      </c>
    </row>
    <row r="38" spans="3:10" s="10" customFormat="1" x14ac:dyDescent="0.25">
      <c r="F38" s="10" t="s">
        <v>92</v>
      </c>
      <c r="G38" s="10">
        <f>12.4*10.764</f>
        <v>133.4736</v>
      </c>
      <c r="H38" s="10">
        <f>14.88*10.764</f>
        <v>160.16831999999999</v>
      </c>
      <c r="I38" s="10">
        <f t="shared" ref="I38:I39" si="48">H38/G38</f>
        <v>1.2</v>
      </c>
    </row>
    <row r="39" spans="3:10" s="10" customFormat="1" x14ac:dyDescent="0.25">
      <c r="G39" s="77">
        <f>SUM(G37:G38)</f>
        <v>652.29840000000002</v>
      </c>
      <c r="H39" s="77">
        <f>SUM(H37:H38)</f>
        <v>782.75807999999995</v>
      </c>
      <c r="I39" s="77">
        <f t="shared" si="48"/>
        <v>1.2</v>
      </c>
    </row>
    <row r="40" spans="3:10" s="10" customFormat="1" x14ac:dyDescent="0.25"/>
    <row r="41" spans="3:10" x14ac:dyDescent="0.25">
      <c r="F41" s="10" t="s">
        <v>95</v>
      </c>
    </row>
    <row r="42" spans="3:10" x14ac:dyDescent="0.25">
      <c r="G42" t="s">
        <v>96</v>
      </c>
      <c r="H42" t="s">
        <v>97</v>
      </c>
    </row>
    <row r="43" spans="3:10" x14ac:dyDescent="0.25">
      <c r="G43" s="30">
        <v>677</v>
      </c>
      <c r="H43" s="30">
        <v>192</v>
      </c>
      <c r="I43" s="30">
        <f>G43+H43</f>
        <v>869</v>
      </c>
      <c r="J43" s="76">
        <f>I43-H39</f>
        <v>86.24192000000005</v>
      </c>
    </row>
    <row r="45" spans="3:10" x14ac:dyDescent="0.25">
      <c r="F45" s="10" t="s">
        <v>98</v>
      </c>
    </row>
    <row r="46" spans="3:10" x14ac:dyDescent="0.25">
      <c r="G46" t="s">
        <v>94</v>
      </c>
    </row>
    <row r="47" spans="3:10" x14ac:dyDescent="0.25">
      <c r="G47" s="30">
        <v>869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2024-04-23T05:11:16Z</dcterms:modified>
</cp:coreProperties>
</file>