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UTI\05.04.2024\"/>
    </mc:Choice>
  </mc:AlternateContent>
  <xr:revisionPtr revIDLastSave="0" documentId="13_ncr:1_{4915BC49-FB91-498C-94FC-1C4A08DFD96D}" xr6:coauthVersionLast="45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Sheet1" sheetId="1" r:id="rId1"/>
    <sheet name="Summary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C6" i="2" l="1"/>
  <c r="AF13" i="2" l="1"/>
  <c r="AD17" i="2" l="1"/>
  <c r="AF11" i="2" l="1"/>
  <c r="AC19" i="2"/>
  <c r="AF19" i="2" s="1"/>
  <c r="AC17" i="2"/>
  <c r="AF17" i="2" s="1"/>
  <c r="AC15" i="2"/>
  <c r="AE15" i="2" s="1"/>
  <c r="AC14" i="2"/>
  <c r="AC13" i="2"/>
  <c r="AC11" i="2"/>
  <c r="AC9" i="2"/>
  <c r="AF9" i="2" s="1"/>
  <c r="AC5" i="2"/>
  <c r="AD19" i="2" l="1"/>
  <c r="AE19" i="2"/>
  <c r="AE17" i="2"/>
  <c r="AD13" i="2"/>
  <c r="AD11" i="2"/>
  <c r="AD9" i="2"/>
  <c r="AC7" i="2"/>
  <c r="AC21" i="2" s="1"/>
  <c r="AC23" i="2" s="1"/>
  <c r="AF21" i="2"/>
  <c r="AE9" i="2"/>
  <c r="AE11" i="2"/>
  <c r="AE13" i="2"/>
  <c r="AD15" i="2"/>
  <c r="Y6" i="2"/>
  <c r="Y5" i="2"/>
  <c r="Y19" i="2"/>
  <c r="Y17" i="2"/>
  <c r="Y15" i="2"/>
  <c r="Y13" i="2"/>
  <c r="Y11" i="2"/>
  <c r="Y9" i="2"/>
  <c r="AE7" i="2" l="1"/>
  <c r="AE21" i="2" s="1"/>
  <c r="AD7" i="2"/>
  <c r="AD21" i="2" s="1"/>
  <c r="T6" i="2"/>
  <c r="M9" i="2" l="1"/>
  <c r="N9" i="2" l="1"/>
  <c r="T15" i="2" l="1"/>
  <c r="V15" i="2" s="1"/>
  <c r="E15" i="2"/>
  <c r="T19" i="2"/>
  <c r="W19" i="2" s="1"/>
  <c r="T17" i="2"/>
  <c r="W17" i="2" s="1"/>
  <c r="T14" i="2"/>
  <c r="T13" i="2"/>
  <c r="W13" i="2" s="1"/>
  <c r="T11" i="2"/>
  <c r="W11" i="2" s="1"/>
  <c r="T9" i="2"/>
  <c r="W9" i="2" s="1"/>
  <c r="T5" i="2"/>
  <c r="H20" i="1"/>
  <c r="W21" i="2" l="1"/>
  <c r="T7" i="2"/>
  <c r="U17" i="2"/>
  <c r="U19" i="2"/>
  <c r="U9" i="2"/>
  <c r="U11" i="2"/>
  <c r="U13" i="2"/>
  <c r="V9" i="2"/>
  <c r="V11" i="2"/>
  <c r="V13" i="2"/>
  <c r="U15" i="2"/>
  <c r="V17" i="2"/>
  <c r="V19" i="2"/>
  <c r="H13" i="2"/>
  <c r="E19" i="2"/>
  <c r="E17" i="2"/>
  <c r="O15" i="2"/>
  <c r="E14" i="2"/>
  <c r="E13" i="2"/>
  <c r="O13" i="2" s="1"/>
  <c r="E11" i="2"/>
  <c r="E9" i="2"/>
  <c r="H9" i="2" s="1"/>
  <c r="E6" i="2"/>
  <c r="E5" i="2"/>
  <c r="E20" i="1"/>
  <c r="G20" i="1" s="1"/>
  <c r="G17" i="2" l="1"/>
  <c r="O17" i="2"/>
  <c r="G19" i="2"/>
  <c r="O19" i="2"/>
  <c r="O9" i="2"/>
  <c r="F11" i="2"/>
  <c r="O11" i="2"/>
  <c r="H11" i="2"/>
  <c r="T21" i="2"/>
  <c r="U7" i="2"/>
  <c r="V7" i="2"/>
  <c r="V21" i="2" s="1"/>
  <c r="U21" i="2"/>
  <c r="G9" i="2"/>
  <c r="E7" i="2"/>
  <c r="F7" i="2" s="1"/>
  <c r="G11" i="2"/>
  <c r="H17" i="2"/>
  <c r="G15" i="2"/>
  <c r="H19" i="2"/>
  <c r="F13" i="2"/>
  <c r="F17" i="2"/>
  <c r="F19" i="2"/>
  <c r="F9" i="2"/>
  <c r="G13" i="2"/>
  <c r="F15" i="2"/>
  <c r="F20" i="1"/>
  <c r="O7" i="2" l="1"/>
  <c r="H21" i="2"/>
  <c r="G7" i="2"/>
  <c r="G21" i="2" s="1"/>
  <c r="E21" i="2"/>
  <c r="T23" i="2" s="1"/>
  <c r="F21" i="2"/>
  <c r="H8" i="1" l="1"/>
  <c r="E6" i="1"/>
  <c r="N28" i="1" l="1"/>
  <c r="E22" i="1"/>
  <c r="E7" i="1"/>
  <c r="E5" i="1"/>
  <c r="E17" i="1"/>
  <c r="E16" i="1"/>
  <c r="F16" i="1" l="1"/>
  <c r="G16" i="1"/>
  <c r="H16" i="1"/>
  <c r="E18" i="1"/>
  <c r="H18" i="1" s="1"/>
  <c r="E8" i="1"/>
  <c r="G22" i="1"/>
  <c r="F22" i="1"/>
  <c r="E14" i="1"/>
  <c r="G14" i="1" s="1"/>
  <c r="E10" i="1"/>
  <c r="G18" i="1" l="1"/>
  <c r="E12" i="1"/>
  <c r="H12" i="1" s="1"/>
  <c r="H10" i="1"/>
  <c r="F10" i="1"/>
  <c r="G10" i="1"/>
  <c r="F8" i="1"/>
  <c r="G8" i="1"/>
  <c r="F18" i="1"/>
  <c r="F14" i="1"/>
  <c r="H14" i="1"/>
  <c r="F12" i="1"/>
  <c r="G24" i="1"/>
  <c r="E26" i="1"/>
  <c r="F26" i="1" s="1"/>
  <c r="E24" i="1"/>
  <c r="E28" i="1" l="1"/>
  <c r="G12" i="1"/>
  <c r="H24" i="1"/>
  <c r="G26" i="1"/>
  <c r="G28" i="1" s="1"/>
  <c r="H26" i="1"/>
  <c r="F24" i="1"/>
  <c r="F28" i="1" s="1"/>
  <c r="K21" i="1"/>
  <c r="K20" i="1"/>
  <c r="K6" i="1"/>
  <c r="K7" i="1"/>
  <c r="K5" i="1"/>
  <c r="K16" i="1"/>
  <c r="K18" i="1" s="1"/>
  <c r="K14" i="1"/>
  <c r="M14" i="1" s="1"/>
  <c r="K10" i="1"/>
  <c r="K12" i="1" s="1"/>
  <c r="H28" i="1" l="1"/>
  <c r="K22" i="1"/>
  <c r="K8" i="1"/>
  <c r="L8" i="1" s="1"/>
  <c r="M22" i="1"/>
  <c r="L22" i="1"/>
  <c r="M18" i="1"/>
  <c r="L18" i="1"/>
  <c r="L14" i="1"/>
  <c r="M12" i="1"/>
  <c r="L12" i="1"/>
  <c r="L28" i="1" l="1"/>
  <c r="M8" i="1"/>
  <c r="M28" i="1" s="1"/>
  <c r="K28" i="1"/>
</calcChain>
</file>

<file path=xl/sharedStrings.xml><?xml version="1.0" encoding="utf-8"?>
<sst xmlns="http://schemas.openxmlformats.org/spreadsheetml/2006/main" count="157" uniqueCount="52">
  <si>
    <t>Sr. No.</t>
  </si>
  <si>
    <t>Property Addresss</t>
  </si>
  <si>
    <t>FMV</t>
  </si>
  <si>
    <t>RV</t>
  </si>
  <si>
    <t>DV</t>
  </si>
  <si>
    <t>UTI Marol Office, Road No. 12, Plot No. 11, MIDC, Marol, Andheri (East), Mumbai - 400093</t>
  </si>
  <si>
    <t>Ground Floor Showroom, Lotus Court, 196 Jamshedji Tata Road, Near Churchgate, Mumbai - 400020</t>
  </si>
  <si>
    <t>UTI Tower, G Block, Bandra Kurla Complex, Bandra (East), Mumbai - 400051</t>
  </si>
  <si>
    <t>SII-476, Ram Singh Marg, Hawa Singh Block, Asian Gamesh Village Complex, Near Siri Fort, New Delhi - 110049</t>
  </si>
  <si>
    <t>SII-474, Ram Singh Marg, Hawa Singh Block, Asian Gamesh Village Complex, Near Siri Fort, New Delhi - 110049</t>
  </si>
  <si>
    <t>Flat No. 23, 4th Floor, Lotus Court, 196 Jamshedji Tata Road, Near Churchgate, Mumbai - 400020</t>
  </si>
  <si>
    <t>Flat No. 24, 4th Floor, Lotus Court, 196 Jamshedji Tata Road, Near Churchgate, Mumbai - 400020</t>
  </si>
  <si>
    <t>Documents Received</t>
  </si>
  <si>
    <t>Documents Pending</t>
  </si>
  <si>
    <t>Approved Plan</t>
  </si>
  <si>
    <t>Allotment Letter, Electricity Bill, Sale Deed, Property Tax-2016-17, Water Tax - 2011</t>
  </si>
  <si>
    <t>Occupancy Certificate, Commencement Certificate, Approved Plan, Latest Property Tax &amp; Water Tax, Maintenance Bill, Share Certificate</t>
  </si>
  <si>
    <t>Sale Deed, Maintenance Bill, Property Tax</t>
  </si>
  <si>
    <t>Occupancy Certificate, Commencement Certificate, Approved Plan, Electricity Bill, Share Certificate</t>
  </si>
  <si>
    <t>Sale Deed, Interial Layout, Maintenance Bill, Property Tax</t>
  </si>
  <si>
    <t>Occupancy Certificate, Interial Layout, Electricity Bill, Lease Deed, Property Tax, Water Tax</t>
  </si>
  <si>
    <t>Lease Deed, BMC Approved Letter, Insurance Copy, Occupancy Certificate, Property Tax, Electricity &amp; Water Bill</t>
  </si>
  <si>
    <t>Insurance Copy, Commencement Certificate, Approved Plan</t>
  </si>
  <si>
    <t>Engineer</t>
  </si>
  <si>
    <t>Chandan</t>
  </si>
  <si>
    <t>Samir</t>
  </si>
  <si>
    <t>Tanmay</t>
  </si>
  <si>
    <t>Agarwal</t>
  </si>
  <si>
    <t>Remarks</t>
  </si>
  <si>
    <t>Draft Completed</t>
  </si>
  <si>
    <t>Vastukala</t>
  </si>
  <si>
    <t>YPCVL - 2021</t>
  </si>
  <si>
    <t>BUA</t>
  </si>
  <si>
    <t>Rate</t>
  </si>
  <si>
    <t>Garage</t>
  </si>
  <si>
    <t>CA - 5438</t>
  </si>
  <si>
    <t>Plot - 1904 Sq. M.</t>
  </si>
  <si>
    <t>Structure - BUA - 19636.46 Sq. Ft.</t>
  </si>
  <si>
    <t>Land Dev. - 1904 Sq. M.</t>
  </si>
  <si>
    <t>Car Parking Nos. 91</t>
  </si>
  <si>
    <t>CA - 1431</t>
  </si>
  <si>
    <t>CA - 1620</t>
  </si>
  <si>
    <t>Plot - 1904 SQ. M.</t>
  </si>
  <si>
    <t>Total Value</t>
  </si>
  <si>
    <t>Rental Value</t>
  </si>
  <si>
    <t>9961.926 Sq. Mtr.</t>
  </si>
  <si>
    <t xml:space="preserve">Summary of UTI </t>
  </si>
  <si>
    <t>9961.926 Sq. Mtr. i.e. 1,07,190.33</t>
  </si>
  <si>
    <t>Including Car Parking</t>
  </si>
  <si>
    <t>Vastukala - 28.03.2022</t>
  </si>
  <si>
    <t>Vastukala - 22.03.2023</t>
  </si>
  <si>
    <t>Vastukala - 05.04.2024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</si>
</sst>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1"/>
      <name val="Arial Narrow"/>
      <family val="2"/>
    </font>
    <font>
      <b/>
      <sz val="16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43" fontId="1" fillId="0" borderId="1" xfId="1" applyFont="1" applyBorder="1" applyAlignment="1">
      <alignment horizontal="center" vertical="center" wrapText="1"/>
    </xf>
    <xf numFmtId="43" fontId="0" fillId="0" borderId="1" xfId="1" applyFont="1" applyBorder="1" applyAlignment="1">
      <alignment vertical="center" wrapText="1"/>
    </xf>
    <xf numFmtId="43" fontId="0" fillId="0" borderId="0" xfId="1" applyFont="1" applyAlignment="1">
      <alignment vertical="center" wrapText="1"/>
    </xf>
    <xf numFmtId="43" fontId="1" fillId="0" borderId="1" xfId="1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3" fontId="1" fillId="0" borderId="1" xfId="0" applyNumberFormat="1" applyFont="1" applyBorder="1" applyAlignment="1">
      <alignment vertical="center" wrapText="1"/>
    </xf>
    <xf numFmtId="43" fontId="2" fillId="0" borderId="1" xfId="1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3" fontId="1" fillId="0" borderId="5" xfId="1" applyFont="1" applyBorder="1" applyAlignment="1">
      <alignment horizontal="center" vertical="center" wrapText="1"/>
    </xf>
    <xf numFmtId="43" fontId="0" fillId="2" borderId="1" xfId="1" applyFont="1" applyFill="1" applyBorder="1" applyAlignment="1">
      <alignment vertical="center" wrapText="1"/>
    </xf>
    <xf numFmtId="43" fontId="0" fillId="0" borderId="0" xfId="0" applyNumberFormat="1" applyAlignment="1">
      <alignment vertical="center" wrapText="1"/>
    </xf>
    <xf numFmtId="0" fontId="1" fillId="2" borderId="0" xfId="0" applyFont="1" applyFill="1" applyAlignment="1">
      <alignment vertical="center" wrapText="1"/>
    </xf>
    <xf numFmtId="43" fontId="0" fillId="4" borderId="1" xfId="1" applyFont="1" applyFill="1" applyBorder="1" applyAlignment="1">
      <alignment vertical="center" wrapText="1"/>
    </xf>
    <xf numFmtId="43" fontId="0" fillId="5" borderId="1" xfId="1" applyFont="1" applyFill="1" applyBorder="1" applyAlignment="1">
      <alignment vertical="center" wrapText="1"/>
    </xf>
    <xf numFmtId="43" fontId="0" fillId="2" borderId="1" xfId="1" applyFont="1" applyFill="1" applyBorder="1" applyAlignment="1">
      <alignment horizontal="right" vertical="center" wrapText="1"/>
    </xf>
    <xf numFmtId="43" fontId="1" fillId="2" borderId="1" xfId="1" applyFont="1" applyFill="1" applyBorder="1" applyAlignment="1">
      <alignment vertical="center" wrapText="1"/>
    </xf>
    <xf numFmtId="43" fontId="2" fillId="2" borderId="1" xfId="1" applyFont="1" applyFill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43" fontId="1" fillId="0" borderId="2" xfId="1" applyFont="1" applyFill="1" applyBorder="1" applyAlignment="1">
      <alignment horizontal="center" vertical="center" wrapText="1"/>
    </xf>
    <xf numFmtId="43" fontId="1" fillId="0" borderId="3" xfId="1" applyFont="1" applyFill="1" applyBorder="1" applyAlignment="1">
      <alignment horizontal="center" vertical="center" wrapText="1"/>
    </xf>
    <xf numFmtId="43" fontId="1" fillId="0" borderId="4" xfId="1" applyFont="1" applyFill="1" applyBorder="1" applyAlignment="1">
      <alignment horizontal="center" vertical="center" wrapText="1"/>
    </xf>
    <xf numFmtId="43" fontId="1" fillId="3" borderId="2" xfId="1" applyFont="1" applyFill="1" applyBorder="1" applyAlignment="1">
      <alignment horizontal="center" vertical="center" wrapText="1"/>
    </xf>
    <xf numFmtId="43" fontId="1" fillId="3" borderId="3" xfId="1" applyFont="1" applyFill="1" applyBorder="1" applyAlignment="1">
      <alignment horizontal="center" vertical="center" wrapText="1"/>
    </xf>
    <xf numFmtId="43" fontId="1" fillId="3" borderId="4" xfId="1" applyFont="1" applyFill="1" applyBorder="1" applyAlignment="1">
      <alignment horizontal="center" vertical="center" wrapText="1"/>
    </xf>
    <xf numFmtId="43" fontId="1" fillId="2" borderId="10" xfId="1" applyFont="1" applyFill="1" applyBorder="1" applyAlignment="1">
      <alignment horizontal="center" vertical="center" wrapText="1"/>
    </xf>
    <xf numFmtId="43" fontId="1" fillId="2" borderId="11" xfId="1" applyFont="1" applyFill="1" applyBorder="1" applyAlignment="1">
      <alignment horizontal="center" vertical="center" wrapText="1"/>
    </xf>
    <xf numFmtId="43" fontId="1" fillId="2" borderId="12" xfId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3" fontId="1" fillId="4" borderId="10" xfId="1" applyFont="1" applyFill="1" applyBorder="1" applyAlignment="1">
      <alignment horizontal="center" vertical="center" wrapText="1"/>
    </xf>
    <xf numFmtId="43" fontId="1" fillId="4" borderId="11" xfId="1" applyFont="1" applyFill="1" applyBorder="1" applyAlignment="1">
      <alignment horizontal="center" vertical="center" wrapText="1"/>
    </xf>
    <xf numFmtId="43" fontId="1" fillId="4" borderId="12" xfId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43" fontId="1" fillId="5" borderId="10" xfId="1" applyFont="1" applyFill="1" applyBorder="1" applyAlignment="1">
      <alignment horizontal="center" vertical="center" wrapText="1"/>
    </xf>
    <xf numFmtId="43" fontId="1" fillId="5" borderId="11" xfId="1" applyFont="1" applyFill="1" applyBorder="1" applyAlignment="1">
      <alignment horizontal="center" vertical="center" wrapText="1"/>
    </xf>
    <xf numFmtId="43" fontId="1" fillId="5" borderId="12" xfId="1" applyFont="1" applyFill="1" applyBorder="1" applyAlignment="1">
      <alignment horizontal="center" vertical="center" wrapText="1"/>
    </xf>
    <xf numFmtId="43" fontId="0" fillId="0" borderId="1" xfId="0" applyNumberFormat="1" applyBorder="1" applyAlignment="1">
      <alignment vertical="center" wrapText="1"/>
    </xf>
    <xf numFmtId="43" fontId="1" fillId="0" borderId="1" xfId="1" applyFont="1" applyFill="1" applyBorder="1" applyAlignment="1">
      <alignment vertical="center" wrapText="1"/>
    </xf>
    <xf numFmtId="43" fontId="2" fillId="0" borderId="1" xfId="1" applyFont="1" applyFill="1" applyBorder="1" applyAlignment="1">
      <alignment vertical="center" wrapText="1"/>
    </xf>
    <xf numFmtId="43" fontId="0" fillId="0" borderId="1" xfId="1" applyFont="1" applyFill="1" applyBorder="1" applyAlignment="1">
      <alignment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28"/>
  <sheetViews>
    <sheetView zoomScaleNormal="100" workbookViewId="0">
      <pane xSplit="2" ySplit="2" topLeftCell="C15" activePane="bottomRight" state="frozen"/>
      <selection pane="topRight" activeCell="C1" sqref="C1"/>
      <selection pane="bottomLeft" activeCell="A3" sqref="A3"/>
      <selection pane="bottomRight" activeCell="E20" sqref="E20"/>
    </sheetView>
  </sheetViews>
  <sheetFormatPr defaultRowHeight="15" x14ac:dyDescent="0.25"/>
  <cols>
    <col min="1" max="1" width="6.85546875" style="4" bestFit="1" customWidth="1"/>
    <col min="2" max="2" width="39.7109375" style="2" bestFit="1" customWidth="1"/>
    <col min="3" max="3" width="18.7109375" style="10" customWidth="1"/>
    <col min="4" max="4" width="12.7109375" style="10" bestFit="1" customWidth="1"/>
    <col min="5" max="7" width="17" style="10" bestFit="1" customWidth="1"/>
    <col min="8" max="8" width="14.28515625" style="10" bestFit="1" customWidth="1"/>
    <col min="9" max="9" width="18.7109375" style="10" customWidth="1"/>
    <col min="10" max="10" width="12.7109375" style="10" customWidth="1"/>
    <col min="11" max="13" width="17" style="10" customWidth="1"/>
    <col min="14" max="14" width="14.42578125" style="2" customWidth="1"/>
    <col min="15" max="15" width="28.7109375" style="2" customWidth="1"/>
    <col min="16" max="16" width="28.85546875" style="2" customWidth="1"/>
    <col min="17" max="17" width="9.140625" style="2" customWidth="1"/>
    <col min="18" max="18" width="18" style="2" customWidth="1"/>
    <col min="19" max="21" width="9.140625" style="2" customWidth="1"/>
    <col min="22" max="16384" width="9.140625" style="2"/>
  </cols>
  <sheetData>
    <row r="3" spans="1:18" ht="30" customHeight="1" x14ac:dyDescent="0.25">
      <c r="A3" s="5" t="s">
        <v>0</v>
      </c>
      <c r="B3" s="5" t="s">
        <v>1</v>
      </c>
      <c r="C3" s="8" t="s">
        <v>32</v>
      </c>
      <c r="D3" s="8" t="s">
        <v>33</v>
      </c>
      <c r="E3" s="8" t="s">
        <v>2</v>
      </c>
      <c r="F3" s="8" t="s">
        <v>3</v>
      </c>
      <c r="G3" s="8" t="s">
        <v>4</v>
      </c>
      <c r="H3" s="8" t="s">
        <v>44</v>
      </c>
      <c r="I3" s="8" t="s">
        <v>32</v>
      </c>
      <c r="J3" s="8" t="s">
        <v>33</v>
      </c>
      <c r="K3" s="8" t="s">
        <v>2</v>
      </c>
      <c r="L3" s="8" t="s">
        <v>3</v>
      </c>
      <c r="M3" s="8" t="s">
        <v>4</v>
      </c>
      <c r="N3" s="5" t="s">
        <v>44</v>
      </c>
      <c r="O3" s="5" t="s">
        <v>12</v>
      </c>
      <c r="P3" s="5" t="s">
        <v>13</v>
      </c>
      <c r="Q3" s="6" t="s">
        <v>23</v>
      </c>
      <c r="R3" s="6" t="s">
        <v>28</v>
      </c>
    </row>
    <row r="4" spans="1:18" ht="30" customHeight="1" x14ac:dyDescent="0.25">
      <c r="A4" s="5"/>
      <c r="B4" s="5"/>
      <c r="C4" s="28" t="s">
        <v>30</v>
      </c>
      <c r="D4" s="29"/>
      <c r="E4" s="29"/>
      <c r="F4" s="29"/>
      <c r="G4" s="29"/>
      <c r="H4" s="30"/>
      <c r="I4" s="31" t="s">
        <v>31</v>
      </c>
      <c r="J4" s="32"/>
      <c r="K4" s="32"/>
      <c r="L4" s="32"/>
      <c r="M4" s="32"/>
      <c r="N4" s="33"/>
      <c r="O4" s="5"/>
      <c r="P4" s="5"/>
      <c r="Q4" s="6"/>
      <c r="R4" s="6"/>
    </row>
    <row r="5" spans="1:18" ht="45" x14ac:dyDescent="0.25">
      <c r="A5" s="3">
        <v>1</v>
      </c>
      <c r="B5" s="1" t="s">
        <v>5</v>
      </c>
      <c r="C5" s="9" t="s">
        <v>42</v>
      </c>
      <c r="D5" s="9">
        <v>231000</v>
      </c>
      <c r="E5" s="9">
        <f>D5*1904</f>
        <v>439824000</v>
      </c>
      <c r="F5" s="9"/>
      <c r="G5" s="9"/>
      <c r="H5" s="9"/>
      <c r="I5" s="9" t="s">
        <v>36</v>
      </c>
      <c r="J5" s="9">
        <v>230000</v>
      </c>
      <c r="K5" s="9">
        <f>J5*1904</f>
        <v>437920000</v>
      </c>
      <c r="L5" s="9"/>
      <c r="M5" s="9"/>
      <c r="N5" s="1"/>
      <c r="O5" s="1" t="s">
        <v>20</v>
      </c>
      <c r="P5" s="1" t="s">
        <v>22</v>
      </c>
      <c r="Q5" s="1" t="s">
        <v>25</v>
      </c>
      <c r="R5" s="1"/>
    </row>
    <row r="6" spans="1:18" ht="30" x14ac:dyDescent="0.25">
      <c r="A6" s="3"/>
      <c r="B6" s="1"/>
      <c r="C6" s="9" t="s">
        <v>37</v>
      </c>
      <c r="D6" s="9">
        <v>1300</v>
      </c>
      <c r="E6" s="9">
        <f>D6*19636.46</f>
        <v>25527398</v>
      </c>
      <c r="F6" s="9"/>
      <c r="G6" s="9"/>
      <c r="H6" s="9"/>
      <c r="I6" s="9" t="s">
        <v>37</v>
      </c>
      <c r="J6" s="9">
        <v>1100</v>
      </c>
      <c r="K6" s="9">
        <f>J6*19636.46</f>
        <v>21600106</v>
      </c>
      <c r="L6" s="9"/>
      <c r="M6" s="9"/>
      <c r="N6" s="1"/>
      <c r="O6" s="1"/>
      <c r="P6" s="1"/>
      <c r="Q6" s="1"/>
      <c r="R6" s="1"/>
    </row>
    <row r="7" spans="1:18" ht="30" x14ac:dyDescent="0.25">
      <c r="A7" s="3"/>
      <c r="B7" s="1"/>
      <c r="C7" s="9" t="s">
        <v>38</v>
      </c>
      <c r="D7" s="9"/>
      <c r="E7" s="9">
        <f>D7*1904</f>
        <v>0</v>
      </c>
      <c r="F7" s="9"/>
      <c r="G7" s="9"/>
      <c r="H7" s="9"/>
      <c r="I7" s="9" t="s">
        <v>38</v>
      </c>
      <c r="J7" s="9">
        <v>800</v>
      </c>
      <c r="K7" s="9">
        <f>J7*1904</f>
        <v>1523200</v>
      </c>
      <c r="L7" s="9"/>
      <c r="M7" s="9"/>
      <c r="N7" s="1"/>
      <c r="O7" s="1"/>
      <c r="P7" s="1"/>
      <c r="Q7" s="1"/>
      <c r="R7" s="1"/>
    </row>
    <row r="8" spans="1:18" x14ac:dyDescent="0.25">
      <c r="A8" s="3"/>
      <c r="B8" s="1"/>
      <c r="C8" s="9"/>
      <c r="D8" s="9"/>
      <c r="E8" s="11">
        <f>SUM(E5:E7)</f>
        <v>465351398</v>
      </c>
      <c r="F8" s="11">
        <f>E8*0.9</f>
        <v>418816258.19999999</v>
      </c>
      <c r="G8" s="11">
        <f>E8*0.8</f>
        <v>372281118.40000004</v>
      </c>
      <c r="H8" s="11">
        <f>N8</f>
        <v>1964000</v>
      </c>
      <c r="I8" s="9"/>
      <c r="J8" s="9"/>
      <c r="K8" s="11">
        <f>SUM(K5:K7)</f>
        <v>461043306</v>
      </c>
      <c r="L8" s="11">
        <f>K8*0.9</f>
        <v>414938975.40000004</v>
      </c>
      <c r="M8" s="11">
        <f>K8*0.8</f>
        <v>368834644.80000001</v>
      </c>
      <c r="N8" s="11">
        <v>1964000</v>
      </c>
      <c r="O8" s="1"/>
      <c r="P8" s="1"/>
      <c r="Q8" s="1"/>
      <c r="R8" s="1"/>
    </row>
    <row r="9" spans="1:18" x14ac:dyDescent="0.25">
      <c r="A9" s="3"/>
      <c r="B9" s="1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1"/>
      <c r="O9" s="1"/>
      <c r="P9" s="1"/>
      <c r="Q9" s="1"/>
      <c r="R9" s="1"/>
    </row>
    <row r="10" spans="1:18" ht="60" x14ac:dyDescent="0.25">
      <c r="A10" s="3">
        <v>2</v>
      </c>
      <c r="B10" s="1" t="s">
        <v>10</v>
      </c>
      <c r="C10" s="9">
        <v>1884</v>
      </c>
      <c r="D10" s="9">
        <v>59500</v>
      </c>
      <c r="E10" s="11">
        <f>C10*D10</f>
        <v>112098000</v>
      </c>
      <c r="F10" s="11">
        <f>E10*0.9</f>
        <v>100888200</v>
      </c>
      <c r="G10" s="11">
        <f>E10*0.8</f>
        <v>89678400</v>
      </c>
      <c r="H10" s="11">
        <f>E10*0.025/12</f>
        <v>233537.5</v>
      </c>
      <c r="I10" s="9">
        <v>1884</v>
      </c>
      <c r="J10" s="9">
        <v>57000</v>
      </c>
      <c r="K10" s="9">
        <f>I10*J10</f>
        <v>107388000</v>
      </c>
      <c r="L10" s="9"/>
      <c r="M10" s="9"/>
      <c r="N10" s="1"/>
      <c r="O10" s="1" t="s">
        <v>17</v>
      </c>
      <c r="P10" s="1" t="s">
        <v>18</v>
      </c>
      <c r="Q10" s="1" t="s">
        <v>24</v>
      </c>
      <c r="R10" s="6" t="s">
        <v>29</v>
      </c>
    </row>
    <row r="11" spans="1:18" x14ac:dyDescent="0.25">
      <c r="A11" s="3"/>
      <c r="B11" s="1"/>
      <c r="C11" s="11"/>
      <c r="D11" s="9"/>
      <c r="E11" s="14"/>
      <c r="F11" s="14"/>
      <c r="G11" s="14"/>
      <c r="H11" s="14"/>
      <c r="I11" s="9" t="s">
        <v>34</v>
      </c>
      <c r="J11" s="9">
        <v>2500000</v>
      </c>
      <c r="K11" s="9">
        <v>2500000</v>
      </c>
      <c r="L11" s="9"/>
      <c r="M11" s="9"/>
      <c r="N11" s="1"/>
      <c r="O11" s="1"/>
      <c r="P11" s="1"/>
      <c r="Q11" s="1"/>
      <c r="R11" s="6"/>
    </row>
    <row r="12" spans="1:18" x14ac:dyDescent="0.25">
      <c r="A12" s="3"/>
      <c r="B12" s="1"/>
      <c r="C12" s="9"/>
      <c r="D12" s="9"/>
      <c r="E12" s="14">
        <f>SUM(E10:E11)</f>
        <v>112098000</v>
      </c>
      <c r="F12" s="14">
        <f>E12*0.9</f>
        <v>100888200</v>
      </c>
      <c r="G12" s="14">
        <f>E12*0.8</f>
        <v>89678400</v>
      </c>
      <c r="H12" s="14">
        <f>E12*0.025/12</f>
        <v>233537.5</v>
      </c>
      <c r="I12" s="9"/>
      <c r="J12" s="9"/>
      <c r="K12" s="11">
        <f>SUM(K10:K11)</f>
        <v>109888000</v>
      </c>
      <c r="L12" s="11">
        <f>K12*0.9</f>
        <v>98899200</v>
      </c>
      <c r="M12" s="11">
        <f>K12*0.8</f>
        <v>87910400</v>
      </c>
      <c r="N12" s="13">
        <v>267000</v>
      </c>
      <c r="O12" s="1"/>
      <c r="P12" s="1"/>
      <c r="Q12" s="1"/>
      <c r="R12" s="6"/>
    </row>
    <row r="13" spans="1:18" x14ac:dyDescent="0.25">
      <c r="A13" s="3"/>
      <c r="B13" s="1"/>
      <c r="C13" s="9"/>
      <c r="D13" s="9"/>
      <c r="E13" s="14"/>
      <c r="F13" s="14"/>
      <c r="G13" s="14"/>
      <c r="H13" s="14"/>
      <c r="I13" s="9"/>
      <c r="J13" s="9"/>
      <c r="K13" s="11"/>
      <c r="L13" s="11"/>
      <c r="M13" s="11"/>
      <c r="N13" s="1"/>
      <c r="O13" s="1"/>
      <c r="P13" s="1"/>
      <c r="Q13" s="1"/>
      <c r="R13" s="6"/>
    </row>
    <row r="14" spans="1:18" ht="60" x14ac:dyDescent="0.25">
      <c r="A14" s="3">
        <v>3</v>
      </c>
      <c r="B14" s="1" t="s">
        <v>11</v>
      </c>
      <c r="C14" s="9">
        <v>1726</v>
      </c>
      <c r="D14" s="9">
        <v>58000</v>
      </c>
      <c r="E14" s="11">
        <f>C14*D14</f>
        <v>100108000</v>
      </c>
      <c r="F14" s="11">
        <f>E14*0.9</f>
        <v>90097200</v>
      </c>
      <c r="G14" s="11">
        <f>E14*0.8</f>
        <v>80086400</v>
      </c>
      <c r="H14" s="11">
        <f>E14*0.025/12</f>
        <v>208558.33333333334</v>
      </c>
      <c r="I14" s="9">
        <v>1725.6</v>
      </c>
      <c r="J14" s="9">
        <v>57000</v>
      </c>
      <c r="K14" s="11">
        <f>I14*J14</f>
        <v>98359200</v>
      </c>
      <c r="L14" s="11">
        <f>K14*0.9</f>
        <v>88523280</v>
      </c>
      <c r="M14" s="11">
        <f>K14*0.8</f>
        <v>78687360</v>
      </c>
      <c r="N14" s="13">
        <v>245000</v>
      </c>
      <c r="O14" s="1" t="s">
        <v>17</v>
      </c>
      <c r="P14" s="1" t="s">
        <v>18</v>
      </c>
      <c r="Q14" s="1" t="s">
        <v>24</v>
      </c>
      <c r="R14" s="6" t="s">
        <v>29</v>
      </c>
    </row>
    <row r="15" spans="1:18" x14ac:dyDescent="0.25">
      <c r="A15" s="3"/>
      <c r="B15" s="1"/>
      <c r="C15" s="9"/>
      <c r="D15" s="9"/>
      <c r="E15" s="14"/>
      <c r="F15" s="14"/>
      <c r="G15" s="14"/>
      <c r="H15" s="14"/>
      <c r="I15" s="9"/>
      <c r="J15" s="9"/>
      <c r="K15" s="9"/>
      <c r="L15" s="9"/>
      <c r="M15" s="9"/>
      <c r="N15" s="1"/>
      <c r="O15" s="1"/>
      <c r="P15" s="1"/>
      <c r="Q15" s="1"/>
      <c r="R15" s="6"/>
    </row>
    <row r="16" spans="1:18" ht="60" x14ac:dyDescent="0.25">
      <c r="A16" s="3">
        <v>4</v>
      </c>
      <c r="B16" s="1" t="s">
        <v>6</v>
      </c>
      <c r="C16" s="9" t="s">
        <v>35</v>
      </c>
      <c r="D16" s="9">
        <v>83000</v>
      </c>
      <c r="E16" s="11">
        <f>D16*5438</f>
        <v>451354000</v>
      </c>
      <c r="F16" s="11">
        <f>E16*0.9</f>
        <v>406218600</v>
      </c>
      <c r="G16" s="11">
        <f>E16*0.8</f>
        <v>361083200</v>
      </c>
      <c r="H16" s="11">
        <f>E16*0.04/12</f>
        <v>1504513.3333333333</v>
      </c>
      <c r="I16" s="9" t="s">
        <v>35</v>
      </c>
      <c r="J16" s="9">
        <v>80000</v>
      </c>
      <c r="K16" s="9">
        <f>J16*5438</f>
        <v>435040000</v>
      </c>
      <c r="L16" s="9"/>
      <c r="M16" s="9"/>
      <c r="N16" s="1"/>
      <c r="O16" s="1" t="s">
        <v>19</v>
      </c>
      <c r="P16" s="1" t="s">
        <v>18</v>
      </c>
      <c r="Q16" s="1" t="s">
        <v>24</v>
      </c>
      <c r="R16" s="6" t="s">
        <v>29</v>
      </c>
    </row>
    <row r="17" spans="1:18" x14ac:dyDescent="0.25">
      <c r="A17" s="3"/>
      <c r="B17" s="1"/>
      <c r="C17" s="9"/>
      <c r="D17" s="9"/>
      <c r="E17" s="14">
        <f>D17</f>
        <v>0</v>
      </c>
      <c r="F17" s="14"/>
      <c r="G17" s="14"/>
      <c r="H17" s="14"/>
      <c r="I17" s="9" t="s">
        <v>34</v>
      </c>
      <c r="J17" s="9">
        <v>2000000</v>
      </c>
      <c r="K17" s="9">
        <v>2000000</v>
      </c>
      <c r="L17" s="9"/>
      <c r="M17" s="9"/>
      <c r="N17" s="1"/>
      <c r="O17" s="1"/>
      <c r="P17" s="1"/>
      <c r="Q17" s="1"/>
      <c r="R17" s="6"/>
    </row>
    <row r="18" spans="1:18" x14ac:dyDescent="0.25">
      <c r="A18" s="3"/>
      <c r="B18" s="1"/>
      <c r="C18" s="9"/>
      <c r="D18" s="9"/>
      <c r="E18" s="14">
        <f>SUM(E16:E17)</f>
        <v>451354000</v>
      </c>
      <c r="F18" s="14">
        <f>E18*0.9</f>
        <v>406218600</v>
      </c>
      <c r="G18" s="14">
        <f>E18*0.8</f>
        <v>361083200</v>
      </c>
      <c r="H18" s="14">
        <f>E18*0.04/12</f>
        <v>1504513.3333333333</v>
      </c>
      <c r="I18" s="9"/>
      <c r="J18" s="9"/>
      <c r="K18" s="11">
        <f>SUM(K16:K17)</f>
        <v>437040000</v>
      </c>
      <c r="L18" s="11">
        <f>K18*0.9</f>
        <v>393336000</v>
      </c>
      <c r="M18" s="11">
        <f>K18*0.8</f>
        <v>349632000</v>
      </c>
      <c r="N18" s="13">
        <v>1452000</v>
      </c>
      <c r="O18" s="1"/>
      <c r="P18" s="1"/>
      <c r="Q18" s="1"/>
      <c r="R18" s="6"/>
    </row>
    <row r="19" spans="1:18" x14ac:dyDescent="0.25">
      <c r="A19" s="3"/>
      <c r="B19" s="1"/>
      <c r="C19" s="9"/>
      <c r="D19" s="9"/>
      <c r="E19" s="14"/>
      <c r="F19" s="14"/>
      <c r="G19" s="14"/>
      <c r="H19" s="14"/>
      <c r="I19" s="9"/>
      <c r="J19" s="9"/>
      <c r="K19" s="11"/>
      <c r="L19" s="11"/>
      <c r="M19" s="11"/>
      <c r="N19" s="1"/>
      <c r="O19" s="1"/>
      <c r="P19" s="1"/>
      <c r="Q19" s="1"/>
      <c r="R19" s="6"/>
    </row>
    <row r="20" spans="1:18" ht="75" x14ac:dyDescent="0.25">
      <c r="A20" s="3">
        <v>5</v>
      </c>
      <c r="B20" s="1" t="s">
        <v>7</v>
      </c>
      <c r="C20" s="9" t="s">
        <v>45</v>
      </c>
      <c r="D20" s="9">
        <v>500000</v>
      </c>
      <c r="E20" s="11">
        <f>D20*9961.926</f>
        <v>4980963000</v>
      </c>
      <c r="F20" s="11">
        <f>E20*0.9</f>
        <v>4482866700</v>
      </c>
      <c r="G20" s="11">
        <f>E20*0.8</f>
        <v>3984770400</v>
      </c>
      <c r="H20" s="11">
        <f>C21*400</f>
        <v>0</v>
      </c>
      <c r="I20" s="9">
        <v>109252.37</v>
      </c>
      <c r="J20" s="9">
        <v>45000</v>
      </c>
      <c r="K20" s="9">
        <f>I20*J20</f>
        <v>4916356650</v>
      </c>
      <c r="L20" s="9"/>
      <c r="M20" s="9"/>
      <c r="N20" s="1"/>
      <c r="O20" s="1" t="s">
        <v>21</v>
      </c>
      <c r="P20" s="7" t="s">
        <v>14</v>
      </c>
      <c r="Q20" s="1" t="s">
        <v>26</v>
      </c>
      <c r="R20" s="1"/>
    </row>
    <row r="21" spans="1:18" x14ac:dyDescent="0.25">
      <c r="A21" s="3"/>
      <c r="B21" s="1"/>
      <c r="C21" s="9"/>
      <c r="D21" s="9"/>
      <c r="E21" s="14"/>
      <c r="F21" s="14"/>
      <c r="G21" s="14"/>
      <c r="H21" s="14"/>
      <c r="I21" s="9" t="s">
        <v>39</v>
      </c>
      <c r="J21" s="9">
        <v>1000000</v>
      </c>
      <c r="K21" s="9">
        <f>J21*91</f>
        <v>91000000</v>
      </c>
      <c r="L21" s="9"/>
      <c r="M21" s="9"/>
      <c r="N21" s="1"/>
      <c r="O21" s="1"/>
      <c r="P21" s="7"/>
      <c r="Q21" s="1"/>
      <c r="R21" s="1"/>
    </row>
    <row r="22" spans="1:18" x14ac:dyDescent="0.25">
      <c r="A22" s="3"/>
      <c r="B22" s="1"/>
      <c r="C22" s="9"/>
      <c r="D22" s="9"/>
      <c r="E22" s="14">
        <f>SUM(E20:E21)</f>
        <v>4980963000</v>
      </c>
      <c r="F22" s="14">
        <f>E22*0.9</f>
        <v>4482866700</v>
      </c>
      <c r="G22" s="14">
        <f>E22*0.8</f>
        <v>3984770400</v>
      </c>
      <c r="H22" s="14"/>
      <c r="I22" s="9"/>
      <c r="J22" s="9"/>
      <c r="K22" s="11">
        <f>SUM(K20:K21)</f>
        <v>5007356650</v>
      </c>
      <c r="L22" s="11">
        <f>K22*0.9</f>
        <v>4506620985</v>
      </c>
      <c r="M22" s="11">
        <f>K22*0.8</f>
        <v>4005885320</v>
      </c>
      <c r="N22" s="13">
        <v>21850000</v>
      </c>
      <c r="O22" s="1"/>
      <c r="P22" s="7"/>
      <c r="Q22" s="1"/>
      <c r="R22" s="1"/>
    </row>
    <row r="23" spans="1:18" x14ac:dyDescent="0.25">
      <c r="A23" s="3"/>
      <c r="B23" s="1"/>
      <c r="C23" s="9"/>
      <c r="D23" s="9"/>
      <c r="E23" s="14"/>
      <c r="F23" s="14"/>
      <c r="G23" s="14"/>
      <c r="H23" s="14"/>
      <c r="I23" s="9"/>
      <c r="J23" s="9"/>
      <c r="K23" s="9"/>
      <c r="L23" s="9"/>
      <c r="M23" s="9"/>
      <c r="N23" s="1"/>
      <c r="O23" s="1"/>
      <c r="P23" s="7"/>
      <c r="Q23" s="1"/>
      <c r="R23" s="1"/>
    </row>
    <row r="24" spans="1:18" ht="90" x14ac:dyDescent="0.25">
      <c r="A24" s="3">
        <v>6</v>
      </c>
      <c r="B24" s="1" t="s">
        <v>9</v>
      </c>
      <c r="C24" s="9" t="s">
        <v>40</v>
      </c>
      <c r="D24" s="9">
        <v>24000</v>
      </c>
      <c r="E24" s="11">
        <f>1431*D24</f>
        <v>34344000</v>
      </c>
      <c r="F24" s="11">
        <f>E24*0.9</f>
        <v>30909600</v>
      </c>
      <c r="G24" s="11">
        <f>E24*0.8</f>
        <v>27475200</v>
      </c>
      <c r="H24" s="11">
        <f>E24*0.025/12</f>
        <v>71550</v>
      </c>
      <c r="I24" s="9"/>
      <c r="J24" s="9"/>
      <c r="K24" s="9"/>
      <c r="L24" s="9"/>
      <c r="M24" s="9"/>
      <c r="N24" s="1"/>
      <c r="O24" s="1" t="s">
        <v>15</v>
      </c>
      <c r="P24" s="1" t="s">
        <v>16</v>
      </c>
      <c r="Q24" s="1" t="s">
        <v>27</v>
      </c>
      <c r="R24" s="1"/>
    </row>
    <row r="25" spans="1:18" x14ac:dyDescent="0.25">
      <c r="A25" s="3"/>
      <c r="B25" s="1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1"/>
      <c r="O25" s="1"/>
      <c r="P25" s="1"/>
      <c r="Q25" s="1"/>
      <c r="R25" s="1"/>
    </row>
    <row r="26" spans="1:18" ht="90" x14ac:dyDescent="0.25">
      <c r="A26" s="3">
        <v>7</v>
      </c>
      <c r="B26" s="1" t="s">
        <v>8</v>
      </c>
      <c r="C26" s="9" t="s">
        <v>41</v>
      </c>
      <c r="D26" s="9">
        <v>24000</v>
      </c>
      <c r="E26" s="11">
        <f>1620*D26</f>
        <v>38880000</v>
      </c>
      <c r="F26" s="11">
        <f>E26*0.9</f>
        <v>34992000</v>
      </c>
      <c r="G26" s="11">
        <f>E26*0.8</f>
        <v>31104000</v>
      </c>
      <c r="H26" s="11">
        <f>E26*0.025/12</f>
        <v>81000</v>
      </c>
      <c r="I26" s="9"/>
      <c r="J26" s="9"/>
      <c r="K26" s="9"/>
      <c r="L26" s="9"/>
      <c r="M26" s="9"/>
      <c r="N26" s="12"/>
      <c r="O26" s="1" t="s">
        <v>15</v>
      </c>
      <c r="P26" s="1" t="s">
        <v>16</v>
      </c>
      <c r="Q26" s="1" t="s">
        <v>27</v>
      </c>
      <c r="R26" s="1"/>
    </row>
    <row r="27" spans="1:18" x14ac:dyDescent="0.25">
      <c r="A27" s="3"/>
      <c r="B27" s="1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  <row r="28" spans="1:18" x14ac:dyDescent="0.25">
      <c r="A28" s="27" t="s">
        <v>43</v>
      </c>
      <c r="B28" s="27"/>
      <c r="C28" s="27"/>
      <c r="D28" s="27"/>
      <c r="E28" s="11">
        <f>E8+E10+E14+E16+E20+E24+E26</f>
        <v>6183098398</v>
      </c>
      <c r="F28" s="11">
        <f>F8+F10+F14+F16+F20+F24+F26</f>
        <v>5564788558.1999998</v>
      </c>
      <c r="G28" s="11">
        <f>G8+G10+G14+G16+G20+G24+G26</f>
        <v>4946478718.3999996</v>
      </c>
      <c r="H28" s="11">
        <f>H8+H10+H14+H16+H20+H24+H26</f>
        <v>4063159.166666667</v>
      </c>
      <c r="I28" s="9"/>
      <c r="J28" s="9"/>
      <c r="K28" s="11">
        <f>K8+K12+K14+K18+K22+K24+K26</f>
        <v>6113687156</v>
      </c>
      <c r="L28" s="11">
        <f>L8+L12+L14+L18+L22+L24+L26</f>
        <v>5502318440.3999996</v>
      </c>
      <c r="M28" s="11">
        <f>M8+M12+M14+M18+M22+M24+M26</f>
        <v>4890949724.8000002</v>
      </c>
      <c r="N28" s="11">
        <f>N8+N12+N14+N18+N22+N24+N26</f>
        <v>25778000</v>
      </c>
    </row>
  </sheetData>
  <mergeCells count="3">
    <mergeCell ref="A28:D28"/>
    <mergeCell ref="C4:H4"/>
    <mergeCell ref="I4:N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51F61-C58A-4CEC-ACB0-BC10EC2CA45F}">
  <dimension ref="A1:AF23"/>
  <sheetViews>
    <sheetView tabSelected="1" topLeftCell="R1" workbookViewId="0">
      <selection activeCell="Z9" sqref="Z9"/>
    </sheetView>
  </sheetViews>
  <sheetFormatPr defaultRowHeight="15" x14ac:dyDescent="0.25"/>
  <cols>
    <col min="1" max="1" width="6.85546875" style="4" bestFit="1" customWidth="1"/>
    <col min="2" max="2" width="39.7109375" style="2" bestFit="1" customWidth="1"/>
    <col min="3" max="3" width="18.7109375" style="10" customWidth="1"/>
    <col min="4" max="4" width="12.7109375" style="10" customWidth="1"/>
    <col min="5" max="7" width="17" style="10" customWidth="1"/>
    <col min="8" max="8" width="14.28515625" style="10" customWidth="1"/>
    <col min="9" max="9" width="28.7109375" style="2" customWidth="1"/>
    <col min="10" max="10" width="28.85546875" style="2" customWidth="1"/>
    <col min="11" max="11" width="9.140625" style="2" customWidth="1"/>
    <col min="12" max="12" width="18" style="2" customWidth="1"/>
    <col min="13" max="15" width="11.5703125" style="2" customWidth="1"/>
    <col min="16" max="16" width="6.85546875" style="4" customWidth="1"/>
    <col min="17" max="17" width="39.7109375" style="2" customWidth="1"/>
    <col min="18" max="18" width="18.7109375" style="10" customWidth="1"/>
    <col min="19" max="19" width="12.7109375" style="10" customWidth="1"/>
    <col min="20" max="22" width="17" style="10" customWidth="1"/>
    <col min="23" max="23" width="14.28515625" style="10" customWidth="1"/>
    <col min="24" max="24" width="9.140625" style="2" customWidth="1"/>
    <col min="25" max="25" width="11.5703125" style="2" customWidth="1"/>
    <col min="26" max="26" width="10" style="2" customWidth="1"/>
    <col min="27" max="27" width="18.7109375" style="10" customWidth="1"/>
    <col min="28" max="28" width="12.7109375" style="10" bestFit="1" customWidth="1"/>
    <col min="29" max="31" width="17" style="10" bestFit="1" customWidth="1"/>
    <col min="32" max="32" width="14.28515625" style="10" bestFit="1" customWidth="1"/>
    <col min="33" max="16384" width="9.140625" style="2"/>
  </cols>
  <sheetData>
    <row r="1" spans="1:32" ht="20.25" thickBot="1" x14ac:dyDescent="0.3">
      <c r="A1" s="42" t="s">
        <v>46</v>
      </c>
      <c r="B1" s="43"/>
      <c r="C1" s="43"/>
      <c r="D1" s="43"/>
      <c r="E1" s="43"/>
      <c r="F1" s="43"/>
      <c r="G1" s="43"/>
      <c r="H1" s="44"/>
      <c r="P1" s="42" t="s">
        <v>46</v>
      </c>
      <c r="Q1" s="43"/>
      <c r="R1" s="43"/>
      <c r="S1" s="43"/>
      <c r="T1" s="43"/>
      <c r="U1" s="43"/>
      <c r="V1" s="43"/>
      <c r="W1" s="44"/>
      <c r="AA1" s="37" t="s">
        <v>46</v>
      </c>
      <c r="AB1" s="38"/>
      <c r="AC1" s="38"/>
      <c r="AD1" s="38"/>
      <c r="AE1" s="38"/>
      <c r="AF1" s="38"/>
    </row>
    <row r="2" spans="1:32" ht="15.75" thickBot="1" x14ac:dyDescent="0.3"/>
    <row r="3" spans="1:32" ht="30" customHeight="1" thickBot="1" x14ac:dyDescent="0.3">
      <c r="A3" s="17" t="s">
        <v>0</v>
      </c>
      <c r="B3" s="17" t="s">
        <v>1</v>
      </c>
      <c r="C3" s="18" t="s">
        <v>32</v>
      </c>
      <c r="D3" s="18" t="s">
        <v>33</v>
      </c>
      <c r="E3" s="18" t="s">
        <v>2</v>
      </c>
      <c r="F3" s="18" t="s">
        <v>3</v>
      </c>
      <c r="G3" s="18" t="s">
        <v>4</v>
      </c>
      <c r="H3" s="18" t="s">
        <v>44</v>
      </c>
      <c r="I3" s="15" t="s">
        <v>12</v>
      </c>
      <c r="J3" s="5" t="s">
        <v>13</v>
      </c>
      <c r="K3" s="6" t="s">
        <v>23</v>
      </c>
      <c r="L3" s="6" t="s">
        <v>28</v>
      </c>
      <c r="P3" s="17" t="s">
        <v>0</v>
      </c>
      <c r="Q3" s="17" t="s">
        <v>1</v>
      </c>
      <c r="R3" s="18" t="s">
        <v>32</v>
      </c>
      <c r="S3" s="18" t="s">
        <v>33</v>
      </c>
      <c r="T3" s="18" t="s">
        <v>2</v>
      </c>
      <c r="U3" s="18" t="s">
        <v>3</v>
      </c>
      <c r="V3" s="18" t="s">
        <v>4</v>
      </c>
      <c r="W3" s="18" t="s">
        <v>44</v>
      </c>
      <c r="AA3" s="18" t="s">
        <v>32</v>
      </c>
      <c r="AB3" s="18" t="s">
        <v>33</v>
      </c>
      <c r="AC3" s="18" t="s">
        <v>2</v>
      </c>
      <c r="AD3" s="18" t="s">
        <v>3</v>
      </c>
      <c r="AE3" s="18" t="s">
        <v>4</v>
      </c>
      <c r="AF3" s="18" t="s">
        <v>44</v>
      </c>
    </row>
    <row r="4" spans="1:32" ht="30" customHeight="1" x14ac:dyDescent="0.25">
      <c r="A4" s="16"/>
      <c r="B4" s="16"/>
      <c r="C4" s="39" t="s">
        <v>49</v>
      </c>
      <c r="D4" s="40"/>
      <c r="E4" s="40"/>
      <c r="F4" s="40"/>
      <c r="G4" s="40"/>
      <c r="H4" s="41"/>
      <c r="I4" s="5"/>
      <c r="J4" s="5"/>
      <c r="K4" s="6"/>
      <c r="L4" s="6"/>
      <c r="P4" s="16"/>
      <c r="Q4" s="16"/>
      <c r="R4" s="45" t="s">
        <v>50</v>
      </c>
      <c r="S4" s="46"/>
      <c r="T4" s="46"/>
      <c r="U4" s="46"/>
      <c r="V4" s="46"/>
      <c r="W4" s="47"/>
      <c r="AA4" s="34" t="s">
        <v>51</v>
      </c>
      <c r="AB4" s="35"/>
      <c r="AC4" s="35"/>
      <c r="AD4" s="35"/>
      <c r="AE4" s="35"/>
      <c r="AF4" s="36"/>
    </row>
    <row r="5" spans="1:32" ht="45" x14ac:dyDescent="0.25">
      <c r="A5" s="3">
        <v>1</v>
      </c>
      <c r="B5" s="7" t="s">
        <v>5</v>
      </c>
      <c r="C5" s="9" t="s">
        <v>42</v>
      </c>
      <c r="D5" s="22">
        <v>231000</v>
      </c>
      <c r="E5" s="9">
        <f>D5*1904</f>
        <v>439824000</v>
      </c>
      <c r="F5" s="9"/>
      <c r="G5" s="9"/>
      <c r="H5" s="9"/>
      <c r="I5" s="1" t="s">
        <v>20</v>
      </c>
      <c r="J5" s="1" t="s">
        <v>22</v>
      </c>
      <c r="K5" s="1" t="s">
        <v>25</v>
      </c>
      <c r="L5" s="1"/>
      <c r="P5" s="3">
        <v>1</v>
      </c>
      <c r="Q5" s="1" t="s">
        <v>5</v>
      </c>
      <c r="R5" s="9" t="s">
        <v>42</v>
      </c>
      <c r="S5" s="23">
        <v>235000</v>
      </c>
      <c r="T5" s="9">
        <f>S5*1904</f>
        <v>447440000</v>
      </c>
      <c r="U5" s="9"/>
      <c r="V5" s="9"/>
      <c r="W5" s="9"/>
      <c r="Y5" s="20">
        <f>S5-D5</f>
        <v>4000</v>
      </c>
      <c r="AA5" s="9" t="s">
        <v>42</v>
      </c>
      <c r="AB5" s="19">
        <v>239000</v>
      </c>
      <c r="AC5" s="19">
        <f>AB5*1904</f>
        <v>455056000</v>
      </c>
      <c r="AD5" s="9"/>
      <c r="AE5" s="9"/>
      <c r="AF5" s="9"/>
    </row>
    <row r="6" spans="1:32" ht="30" x14ac:dyDescent="0.25">
      <c r="A6" s="3"/>
      <c r="B6" s="1"/>
      <c r="C6" s="9" t="s">
        <v>37</v>
      </c>
      <c r="D6" s="22">
        <v>1300</v>
      </c>
      <c r="E6" s="9">
        <f>D6*19636.46</f>
        <v>25527398</v>
      </c>
      <c r="F6" s="9"/>
      <c r="G6" s="9"/>
      <c r="H6" s="9"/>
      <c r="I6" s="1"/>
      <c r="J6" s="1"/>
      <c r="K6" s="1"/>
      <c r="L6" s="1"/>
      <c r="P6" s="3"/>
      <c r="Q6" s="1"/>
      <c r="R6" s="9" t="s">
        <v>37</v>
      </c>
      <c r="S6" s="23">
        <v>1404</v>
      </c>
      <c r="T6" s="9">
        <f>S6*19636.46+0.16</f>
        <v>27569590</v>
      </c>
      <c r="U6" s="9"/>
      <c r="V6" s="9"/>
      <c r="W6" s="9"/>
      <c r="Y6" s="20">
        <f>S6-D6</f>
        <v>104</v>
      </c>
      <c r="AA6" s="9" t="s">
        <v>37</v>
      </c>
      <c r="AB6" s="19">
        <v>1515</v>
      </c>
      <c r="AC6" s="19">
        <f>AB6*19636.46+0.1</f>
        <v>29749237</v>
      </c>
      <c r="AD6" s="9"/>
      <c r="AE6" s="9"/>
      <c r="AF6" s="9"/>
    </row>
    <row r="7" spans="1:32" x14ac:dyDescent="0.25">
      <c r="A7" s="3"/>
      <c r="B7" s="1"/>
      <c r="C7" s="9"/>
      <c r="D7" s="22"/>
      <c r="E7" s="11">
        <f>SUM(E5:E6)</f>
        <v>465351398</v>
      </c>
      <c r="F7" s="11">
        <f>E7*0.9</f>
        <v>418816258.19999999</v>
      </c>
      <c r="G7" s="11">
        <f>E7*0.8</f>
        <v>372281118.40000004</v>
      </c>
      <c r="H7" s="11">
        <v>1964000</v>
      </c>
      <c r="I7" s="48"/>
      <c r="J7" s="1"/>
      <c r="K7" s="1"/>
      <c r="L7" s="1"/>
      <c r="O7" s="2">
        <f>T7/E7</f>
        <v>1.0207546212206715</v>
      </c>
      <c r="P7" s="3"/>
      <c r="Q7" s="1"/>
      <c r="R7" s="9"/>
      <c r="S7" s="23"/>
      <c r="T7" s="11">
        <f>SUM(T5:T6)</f>
        <v>475009590</v>
      </c>
      <c r="U7" s="11">
        <f>T7*0.9</f>
        <v>427508631</v>
      </c>
      <c r="V7" s="11">
        <f>T7*0.8</f>
        <v>380007672</v>
      </c>
      <c r="W7" s="11">
        <v>1964000</v>
      </c>
      <c r="AA7" s="9"/>
      <c r="AB7" s="19"/>
      <c r="AC7" s="11">
        <f>SUM(AC5:AC6)</f>
        <v>484805237</v>
      </c>
      <c r="AD7" s="11">
        <f>AC7*0.9</f>
        <v>436324713.30000001</v>
      </c>
      <c r="AE7" s="11">
        <f>AC7*0.8</f>
        <v>387844189.60000002</v>
      </c>
      <c r="AF7" s="11">
        <v>1964000</v>
      </c>
    </row>
    <row r="8" spans="1:32" x14ac:dyDescent="0.25">
      <c r="A8" s="3"/>
      <c r="B8" s="1"/>
      <c r="C8" s="9"/>
      <c r="D8" s="22"/>
      <c r="E8" s="9"/>
      <c r="F8" s="9"/>
      <c r="G8" s="9"/>
      <c r="H8" s="9"/>
      <c r="I8" s="1"/>
      <c r="J8" s="1"/>
      <c r="K8" s="1"/>
      <c r="L8" s="1"/>
      <c r="P8" s="3"/>
      <c r="Q8" s="1"/>
      <c r="R8" s="9"/>
      <c r="S8" s="23"/>
      <c r="T8" s="9"/>
      <c r="U8" s="9"/>
      <c r="V8" s="9"/>
      <c r="W8" s="9"/>
      <c r="AA8" s="9"/>
      <c r="AB8" s="19"/>
      <c r="AC8" s="9"/>
      <c r="AD8" s="9"/>
      <c r="AE8" s="9"/>
      <c r="AF8" s="9"/>
    </row>
    <row r="9" spans="1:32" ht="60" x14ac:dyDescent="0.25">
      <c r="A9" s="3">
        <v>2</v>
      </c>
      <c r="B9" s="7" t="s">
        <v>10</v>
      </c>
      <c r="C9" s="19">
        <v>1884</v>
      </c>
      <c r="D9" s="22">
        <v>59500</v>
      </c>
      <c r="E9" s="11">
        <f>C9*D9</f>
        <v>112098000</v>
      </c>
      <c r="F9" s="11">
        <f>E9*0.9</f>
        <v>100888200</v>
      </c>
      <c r="G9" s="11">
        <f>E9*0.8</f>
        <v>89678400</v>
      </c>
      <c r="H9" s="11">
        <f>E9*0.025/12+0.5</f>
        <v>233538</v>
      </c>
      <c r="I9" s="1" t="s">
        <v>17</v>
      </c>
      <c r="J9" s="1" t="s">
        <v>18</v>
      </c>
      <c r="K9" s="1" t="s">
        <v>24</v>
      </c>
      <c r="L9" s="6" t="s">
        <v>29</v>
      </c>
      <c r="M9" s="2">
        <f>H9/C9</f>
        <v>123.95859872611464</v>
      </c>
      <c r="N9" s="2">
        <f>W9/R9</f>
        <v>126.04193205944799</v>
      </c>
      <c r="O9" s="2">
        <f>T9/E9</f>
        <v>1.0168067226890756</v>
      </c>
      <c r="P9" s="3">
        <v>2</v>
      </c>
      <c r="Q9" s="1" t="s">
        <v>10</v>
      </c>
      <c r="R9" s="9">
        <v>1884</v>
      </c>
      <c r="S9" s="23">
        <v>60500</v>
      </c>
      <c r="T9" s="11">
        <f>R9*S9</f>
        <v>113982000</v>
      </c>
      <c r="U9" s="11">
        <f>T9*0.9</f>
        <v>102583800</v>
      </c>
      <c r="V9" s="11">
        <f>T9*0.8</f>
        <v>91185600</v>
      </c>
      <c r="W9" s="11">
        <f>T9*0.025/12+0.5</f>
        <v>237463</v>
      </c>
      <c r="Y9" s="20">
        <f>S9-D9</f>
        <v>1000</v>
      </c>
      <c r="Z9" s="21" t="s">
        <v>48</v>
      </c>
      <c r="AA9" s="9">
        <v>1884</v>
      </c>
      <c r="AB9" s="19">
        <v>61500</v>
      </c>
      <c r="AC9" s="25">
        <f>AA9*AB9</f>
        <v>115866000</v>
      </c>
      <c r="AD9" s="49">
        <f>AC9*0.9</f>
        <v>104279400</v>
      </c>
      <c r="AE9" s="11">
        <f>AC9*0.8</f>
        <v>92692800</v>
      </c>
      <c r="AF9" s="11">
        <f>AC9*0.025/12+0.5</f>
        <v>241388</v>
      </c>
    </row>
    <row r="10" spans="1:32" x14ac:dyDescent="0.25">
      <c r="A10" s="3"/>
      <c r="B10" s="1"/>
      <c r="C10" s="11"/>
      <c r="D10" s="22"/>
      <c r="E10" s="14"/>
      <c r="F10" s="14"/>
      <c r="G10" s="14"/>
      <c r="H10" s="14"/>
      <c r="I10" s="1"/>
      <c r="J10" s="1"/>
      <c r="K10" s="1"/>
      <c r="L10" s="6"/>
      <c r="P10" s="3"/>
      <c r="Q10" s="1"/>
      <c r="R10" s="11"/>
      <c r="S10" s="23"/>
      <c r="T10" s="14"/>
      <c r="U10" s="14"/>
      <c r="V10" s="14"/>
      <c r="W10" s="14"/>
      <c r="AA10" s="11"/>
      <c r="AB10" s="19"/>
      <c r="AC10" s="26"/>
      <c r="AD10" s="50"/>
      <c r="AE10" s="14"/>
      <c r="AF10" s="14"/>
    </row>
    <row r="11" spans="1:32" ht="60" x14ac:dyDescent="0.25">
      <c r="A11" s="3">
        <v>3</v>
      </c>
      <c r="B11" s="7" t="s">
        <v>11</v>
      </c>
      <c r="C11" s="19">
        <v>1726</v>
      </c>
      <c r="D11" s="22">
        <v>58000</v>
      </c>
      <c r="E11" s="11">
        <f>C11*D11</f>
        <v>100108000</v>
      </c>
      <c r="F11" s="11">
        <f>E11*0.9</f>
        <v>90097200</v>
      </c>
      <c r="G11" s="11">
        <f>E11*0.8</f>
        <v>80086400</v>
      </c>
      <c r="H11" s="11">
        <f>E11*0.025/12+0.67</f>
        <v>208559.00333333336</v>
      </c>
      <c r="I11" s="1" t="s">
        <v>17</v>
      </c>
      <c r="J11" s="1" t="s">
        <v>18</v>
      </c>
      <c r="K11" s="1" t="s">
        <v>24</v>
      </c>
      <c r="L11" s="6" t="s">
        <v>29</v>
      </c>
      <c r="O11" s="2">
        <f>T11/E11</f>
        <v>1.0172413793103448</v>
      </c>
      <c r="P11" s="3">
        <v>3</v>
      </c>
      <c r="Q11" s="1" t="s">
        <v>11</v>
      </c>
      <c r="R11" s="9">
        <v>1726</v>
      </c>
      <c r="S11" s="23">
        <v>59000</v>
      </c>
      <c r="T11" s="11">
        <f>R11*S11</f>
        <v>101834000</v>
      </c>
      <c r="U11" s="11">
        <f>T11*0.9</f>
        <v>91650600</v>
      </c>
      <c r="V11" s="11">
        <f>T11*0.8</f>
        <v>81467200</v>
      </c>
      <c r="W11" s="11">
        <f>T11*0.025/12+0.67</f>
        <v>212154.83666666667</v>
      </c>
      <c r="Y11" s="20">
        <f>S11-D11</f>
        <v>1000</v>
      </c>
      <c r="AA11" s="9">
        <v>1726</v>
      </c>
      <c r="AB11" s="19">
        <v>59500</v>
      </c>
      <c r="AC11" s="25">
        <f>AA11*AB11</f>
        <v>102697000</v>
      </c>
      <c r="AD11" s="49">
        <f>AC11*0.9</f>
        <v>92427300</v>
      </c>
      <c r="AE11" s="11">
        <f>AC11*0.8</f>
        <v>82157600</v>
      </c>
      <c r="AF11" s="11">
        <f>AC11*0.025/12</f>
        <v>213952.08333333334</v>
      </c>
    </row>
    <row r="12" spans="1:32" x14ac:dyDescent="0.25">
      <c r="A12" s="3"/>
      <c r="B12" s="1"/>
      <c r="C12" s="9"/>
      <c r="D12" s="22"/>
      <c r="E12" s="14"/>
      <c r="F12" s="14"/>
      <c r="G12" s="14"/>
      <c r="H12" s="14"/>
      <c r="I12" s="1"/>
      <c r="J12" s="1"/>
      <c r="K12" s="1"/>
      <c r="L12" s="6"/>
      <c r="P12" s="3"/>
      <c r="Q12" s="1"/>
      <c r="R12" s="9"/>
      <c r="S12" s="23"/>
      <c r="T12" s="14"/>
      <c r="U12" s="14"/>
      <c r="V12" s="14"/>
      <c r="W12" s="14"/>
      <c r="AA12" s="9"/>
      <c r="AB12" s="19"/>
      <c r="AC12" s="14"/>
      <c r="AD12" s="50"/>
      <c r="AE12" s="14"/>
      <c r="AF12" s="14"/>
    </row>
    <row r="13" spans="1:32" ht="60" x14ac:dyDescent="0.25">
      <c r="A13" s="3">
        <v>4</v>
      </c>
      <c r="B13" s="7" t="s">
        <v>6</v>
      </c>
      <c r="C13" s="24" t="s">
        <v>35</v>
      </c>
      <c r="D13" s="22">
        <v>83000</v>
      </c>
      <c r="E13" s="11">
        <f>D13*5438</f>
        <v>451354000</v>
      </c>
      <c r="F13" s="11">
        <f>E13*0.9</f>
        <v>406218600</v>
      </c>
      <c r="G13" s="11">
        <f>E13*0.8</f>
        <v>361083200</v>
      </c>
      <c r="H13" s="11">
        <f>E13*0.04/12+0.67</f>
        <v>1504514.0033333332</v>
      </c>
      <c r="I13" s="1" t="s">
        <v>19</v>
      </c>
      <c r="J13" s="1" t="s">
        <v>18</v>
      </c>
      <c r="K13" s="1" t="s">
        <v>24</v>
      </c>
      <c r="L13" s="6" t="s">
        <v>29</v>
      </c>
      <c r="M13" s="20"/>
      <c r="O13" s="2">
        <f>T13/E13</f>
        <v>1.0240963855421688</v>
      </c>
      <c r="P13" s="3">
        <v>4</v>
      </c>
      <c r="Q13" s="1" t="s">
        <v>6</v>
      </c>
      <c r="R13" s="9" t="s">
        <v>35</v>
      </c>
      <c r="S13" s="23">
        <v>85000</v>
      </c>
      <c r="T13" s="11">
        <f>S13*5438</f>
        <v>462230000</v>
      </c>
      <c r="U13" s="11">
        <f>T13*0.9</f>
        <v>416007000</v>
      </c>
      <c r="V13" s="11">
        <f>T13*0.8</f>
        <v>369784000</v>
      </c>
      <c r="W13" s="11">
        <f>T13*0.04/12+0.67</f>
        <v>1540767.3366666667</v>
      </c>
      <c r="Y13" s="20">
        <f>S13-D13</f>
        <v>2000</v>
      </c>
      <c r="AA13" s="9" t="s">
        <v>35</v>
      </c>
      <c r="AB13" s="19">
        <v>87000</v>
      </c>
      <c r="AC13" s="25">
        <f>AB13*5438</f>
        <v>473106000</v>
      </c>
      <c r="AD13" s="49">
        <f>AC13*0.9</f>
        <v>425795400</v>
      </c>
      <c r="AE13" s="11">
        <f>AC13*0.8</f>
        <v>378484800</v>
      </c>
      <c r="AF13" s="11">
        <f>AC13*0.04/12</f>
        <v>1577020</v>
      </c>
    </row>
    <row r="14" spans="1:32" x14ac:dyDescent="0.25">
      <c r="A14" s="3"/>
      <c r="B14" s="1"/>
      <c r="C14" s="9"/>
      <c r="D14" s="22"/>
      <c r="E14" s="14">
        <f>D14</f>
        <v>0</v>
      </c>
      <c r="F14" s="14"/>
      <c r="G14" s="14"/>
      <c r="H14" s="14"/>
      <c r="I14" s="1"/>
      <c r="J14" s="1"/>
      <c r="K14" s="1"/>
      <c r="L14" s="6"/>
      <c r="P14" s="3"/>
      <c r="Q14" s="1"/>
      <c r="R14" s="9"/>
      <c r="S14" s="23"/>
      <c r="T14" s="14">
        <f>S14</f>
        <v>0</v>
      </c>
      <c r="U14" s="14"/>
      <c r="V14" s="14"/>
      <c r="W14" s="14"/>
      <c r="AA14" s="9"/>
      <c r="AB14" s="19"/>
      <c r="AC14" s="14">
        <f>AB14</f>
        <v>0</v>
      </c>
      <c r="AD14" s="50"/>
      <c r="AE14" s="14"/>
      <c r="AF14" s="14"/>
    </row>
    <row r="15" spans="1:32" ht="75" x14ac:dyDescent="0.25">
      <c r="A15" s="3">
        <v>5</v>
      </c>
      <c r="B15" s="7" t="s">
        <v>7</v>
      </c>
      <c r="C15" s="9" t="s">
        <v>47</v>
      </c>
      <c r="D15" s="22">
        <v>46500</v>
      </c>
      <c r="E15" s="11">
        <f>D15*107190.33</f>
        <v>4984350345</v>
      </c>
      <c r="F15" s="11">
        <f>E15*0.9</f>
        <v>4485915310.5</v>
      </c>
      <c r="G15" s="11">
        <f>E15*0.8</f>
        <v>3987480276</v>
      </c>
      <c r="H15" s="11">
        <v>21850000</v>
      </c>
      <c r="I15" s="1" t="s">
        <v>21</v>
      </c>
      <c r="J15" s="7" t="s">
        <v>14</v>
      </c>
      <c r="K15" s="1" t="s">
        <v>26</v>
      </c>
      <c r="L15" s="1"/>
      <c r="M15" s="20"/>
      <c r="N15" s="20"/>
      <c r="O15" s="2">
        <f>T15/E15</f>
        <v>1.021505376344086</v>
      </c>
      <c r="P15" s="3">
        <v>5</v>
      </c>
      <c r="Q15" s="1" t="s">
        <v>7</v>
      </c>
      <c r="R15" s="9" t="s">
        <v>47</v>
      </c>
      <c r="S15" s="23">
        <v>47500</v>
      </c>
      <c r="T15" s="11">
        <f>S15*107190.33</f>
        <v>5091540675</v>
      </c>
      <c r="U15" s="11">
        <f>T15*0.9</f>
        <v>4582386607.5</v>
      </c>
      <c r="V15" s="11">
        <f>T15*0.8</f>
        <v>4073232540</v>
      </c>
      <c r="W15" s="11">
        <v>21850000</v>
      </c>
      <c r="Y15" s="20">
        <f>S15-D15</f>
        <v>1000</v>
      </c>
      <c r="Z15" s="20"/>
      <c r="AA15" s="9" t="s">
        <v>47</v>
      </c>
      <c r="AB15" s="19">
        <v>48500</v>
      </c>
      <c r="AC15" s="25">
        <f>AB15*107190.33</f>
        <v>5198731005</v>
      </c>
      <c r="AD15" s="49">
        <f>AC15*0.9</f>
        <v>4678857904.5</v>
      </c>
      <c r="AE15" s="11">
        <f>AC15*0.8</f>
        <v>4158984804</v>
      </c>
      <c r="AF15" s="11">
        <v>21850000</v>
      </c>
    </row>
    <row r="16" spans="1:32" x14ac:dyDescent="0.25">
      <c r="A16" s="3"/>
      <c r="B16" s="1"/>
      <c r="C16" s="9"/>
      <c r="D16" s="22"/>
      <c r="E16" s="14"/>
      <c r="F16" s="14"/>
      <c r="G16" s="14"/>
      <c r="H16" s="14"/>
      <c r="I16" s="1"/>
      <c r="J16" s="7"/>
      <c r="K16" s="1"/>
      <c r="L16" s="1"/>
      <c r="P16" s="3"/>
      <c r="Q16" s="1"/>
      <c r="R16" s="9"/>
      <c r="S16" s="23"/>
      <c r="T16" s="14"/>
      <c r="U16" s="14"/>
      <c r="V16" s="14"/>
      <c r="W16" s="14"/>
      <c r="AA16" s="9"/>
      <c r="AB16" s="19"/>
      <c r="AC16" s="14"/>
      <c r="AD16" s="50"/>
      <c r="AE16" s="14"/>
      <c r="AF16" s="14"/>
    </row>
    <row r="17" spans="1:32" ht="90" x14ac:dyDescent="0.25">
      <c r="A17" s="3">
        <v>6</v>
      </c>
      <c r="B17" s="7" t="s">
        <v>9</v>
      </c>
      <c r="C17" s="9" t="s">
        <v>40</v>
      </c>
      <c r="D17" s="22">
        <v>24000</v>
      </c>
      <c r="E17" s="11">
        <f>1431*D17</f>
        <v>34344000</v>
      </c>
      <c r="F17" s="11">
        <f>E17*0.9</f>
        <v>30909600</v>
      </c>
      <c r="G17" s="11">
        <f>E17*0.8</f>
        <v>27475200</v>
      </c>
      <c r="H17" s="11">
        <f>E17*0.025/12</f>
        <v>71550</v>
      </c>
      <c r="I17" s="1" t="s">
        <v>15</v>
      </c>
      <c r="J17" s="1" t="s">
        <v>16</v>
      </c>
      <c r="K17" s="1" t="s">
        <v>27</v>
      </c>
      <c r="L17" s="1"/>
      <c r="N17" s="20"/>
      <c r="O17" s="2">
        <f>T17/E17</f>
        <v>1.0416666666666667</v>
      </c>
      <c r="P17" s="3">
        <v>6</v>
      </c>
      <c r="Q17" s="1" t="s">
        <v>9</v>
      </c>
      <c r="R17" s="9" t="s">
        <v>40</v>
      </c>
      <c r="S17" s="23">
        <v>25000</v>
      </c>
      <c r="T17" s="11">
        <f>1431*S17</f>
        <v>35775000</v>
      </c>
      <c r="U17" s="11">
        <f>T17*0.9</f>
        <v>32197500</v>
      </c>
      <c r="V17" s="11">
        <f>T17*0.8</f>
        <v>28620000</v>
      </c>
      <c r="W17" s="11">
        <f>T17*0.025/12</f>
        <v>74531.25</v>
      </c>
      <c r="Y17" s="20">
        <f>S17-D17</f>
        <v>1000</v>
      </c>
      <c r="AA17" s="9" t="s">
        <v>40</v>
      </c>
      <c r="AB17" s="19">
        <v>25500</v>
      </c>
      <c r="AC17" s="25">
        <f>1431*AB17</f>
        <v>36490500</v>
      </c>
      <c r="AD17" s="49">
        <f>AC17*0.9</f>
        <v>32841450</v>
      </c>
      <c r="AE17" s="11">
        <f>AC17*0.8</f>
        <v>29192400</v>
      </c>
      <c r="AF17" s="11">
        <f>AC17*0.025/12</f>
        <v>76021.875</v>
      </c>
    </row>
    <row r="18" spans="1:32" x14ac:dyDescent="0.25">
      <c r="A18" s="3"/>
      <c r="B18" s="1"/>
      <c r="C18" s="9"/>
      <c r="D18" s="22"/>
      <c r="E18" s="9"/>
      <c r="F18" s="9"/>
      <c r="G18" s="9"/>
      <c r="H18" s="9"/>
      <c r="I18" s="1"/>
      <c r="J18" s="1"/>
      <c r="K18" s="1"/>
      <c r="L18" s="1"/>
      <c r="P18" s="3"/>
      <c r="Q18" s="1"/>
      <c r="R18" s="9"/>
      <c r="S18" s="23"/>
      <c r="T18" s="9"/>
      <c r="U18" s="9"/>
      <c r="V18" s="9"/>
      <c r="W18" s="9"/>
      <c r="AA18" s="9"/>
      <c r="AB18" s="19"/>
      <c r="AC18" s="9"/>
      <c r="AD18" s="51"/>
      <c r="AE18" s="9"/>
      <c r="AF18" s="9"/>
    </row>
    <row r="19" spans="1:32" ht="90" x14ac:dyDescent="0.25">
      <c r="A19" s="3">
        <v>7</v>
      </c>
      <c r="B19" s="7" t="s">
        <v>8</v>
      </c>
      <c r="C19" s="9" t="s">
        <v>41</v>
      </c>
      <c r="D19" s="22">
        <v>24000</v>
      </c>
      <c r="E19" s="11">
        <f>1620*D19</f>
        <v>38880000</v>
      </c>
      <c r="F19" s="11">
        <f>E19*0.9</f>
        <v>34992000</v>
      </c>
      <c r="G19" s="11">
        <f>E19*0.8</f>
        <v>31104000</v>
      </c>
      <c r="H19" s="11">
        <f>E19*0.025/12</f>
        <v>81000</v>
      </c>
      <c r="I19" s="1" t="s">
        <v>15</v>
      </c>
      <c r="J19" s="1" t="s">
        <v>16</v>
      </c>
      <c r="K19" s="1" t="s">
        <v>27</v>
      </c>
      <c r="L19" s="1"/>
      <c r="O19" s="2">
        <f>T19/E19</f>
        <v>1.0416666666666667</v>
      </c>
      <c r="P19" s="3">
        <v>7</v>
      </c>
      <c r="Q19" s="1" t="s">
        <v>8</v>
      </c>
      <c r="R19" s="9" t="s">
        <v>41</v>
      </c>
      <c r="S19" s="23">
        <v>25000</v>
      </c>
      <c r="T19" s="11">
        <f>1620*S19</f>
        <v>40500000</v>
      </c>
      <c r="U19" s="11">
        <f>T19*0.9</f>
        <v>36450000</v>
      </c>
      <c r="V19" s="11">
        <f>T19*0.8</f>
        <v>32400000</v>
      </c>
      <c r="W19" s="11">
        <f>T19*0.025/12</f>
        <v>84375</v>
      </c>
      <c r="Y19" s="20">
        <f>S19-D19</f>
        <v>1000</v>
      </c>
      <c r="AA19" s="9" t="s">
        <v>41</v>
      </c>
      <c r="AB19" s="19">
        <v>25500</v>
      </c>
      <c r="AC19" s="25">
        <f>1620*AB19</f>
        <v>41310000</v>
      </c>
      <c r="AD19" s="49">
        <f>AC19*0.9</f>
        <v>37179000</v>
      </c>
      <c r="AE19" s="11">
        <f>AC19*0.8</f>
        <v>33048000</v>
      </c>
      <c r="AF19" s="11">
        <f>AC19*0.025/12</f>
        <v>86062.5</v>
      </c>
    </row>
    <row r="20" spans="1:32" x14ac:dyDescent="0.25">
      <c r="A20" s="3"/>
      <c r="B20" s="1"/>
      <c r="C20" s="9"/>
      <c r="D20" s="9"/>
      <c r="E20" s="9"/>
      <c r="F20" s="9"/>
      <c r="G20" s="9"/>
      <c r="H20" s="9"/>
      <c r="P20" s="3"/>
      <c r="Q20" s="1"/>
      <c r="R20" s="9"/>
      <c r="S20" s="23"/>
      <c r="T20" s="9"/>
      <c r="U20" s="9"/>
      <c r="V20" s="9"/>
      <c r="W20" s="9"/>
      <c r="AA20" s="9"/>
      <c r="AB20" s="19"/>
      <c r="AC20" s="9"/>
      <c r="AD20" s="9"/>
      <c r="AE20" s="9"/>
      <c r="AF20" s="9"/>
    </row>
    <row r="21" spans="1:32" ht="29.25" customHeight="1" x14ac:dyDescent="0.25">
      <c r="A21" s="27" t="s">
        <v>43</v>
      </c>
      <c r="B21" s="27"/>
      <c r="C21" s="27"/>
      <c r="D21" s="27"/>
      <c r="E21" s="11">
        <f>E7+E9+E11+E13+E15+E17+E19</f>
        <v>6186485743</v>
      </c>
      <c r="F21" s="11">
        <f>F7+F9+F11+F13+F15+F17+F19</f>
        <v>5567837168.6999998</v>
      </c>
      <c r="G21" s="11">
        <f>G7+G9+G11+G13+G15+G17+G19</f>
        <v>4949188594.3999996</v>
      </c>
      <c r="H21" s="11">
        <f>H7+H9+H11+H13+H15+H17+H19</f>
        <v>25913161.006666668</v>
      </c>
      <c r="P21" s="27" t="s">
        <v>43</v>
      </c>
      <c r="Q21" s="27"/>
      <c r="R21" s="27"/>
      <c r="S21" s="27"/>
      <c r="T21" s="11">
        <f>T7+T9+T11+T13+T15+T17+T19</f>
        <v>6320871265</v>
      </c>
      <c r="U21" s="11">
        <f>U7+U9+U11+U13+U15+U17+U19</f>
        <v>5688784138.5</v>
      </c>
      <c r="V21" s="11">
        <f>V7+V9+V11+V13+V15+V17+V19</f>
        <v>5056697012</v>
      </c>
      <c r="W21" s="11">
        <f>W7+W9+W11+W13+W15+W17+W19</f>
        <v>25963291.423333332</v>
      </c>
      <c r="AA21" s="2"/>
      <c r="AB21" s="2"/>
      <c r="AC21" s="11">
        <f>AC7+AC9+AC11+AC13+AC15+AC17+AC19</f>
        <v>6453005742</v>
      </c>
      <c r="AD21" s="11">
        <f>AD7+AD9+AD11+AD13+AD15+AD17+AD19</f>
        <v>5807705167.8000002</v>
      </c>
      <c r="AE21" s="11">
        <f>AE7+AE9+AE11+AE13+AE15+AE17+AE19</f>
        <v>5162404593.6000004</v>
      </c>
      <c r="AF21" s="11">
        <f>AF7+AF9+AF11+AF13+AF15+AF17+AF19</f>
        <v>26008444.458333332</v>
      </c>
    </row>
    <row r="23" spans="1:32" x14ac:dyDescent="0.25">
      <c r="T23" s="10">
        <f>T21/E21</f>
        <v>1.0217224329906616</v>
      </c>
      <c r="AC23" s="10" t="e">
        <f>AC21/N21</f>
        <v>#DIV/0!</v>
      </c>
    </row>
  </sheetData>
  <mergeCells count="8">
    <mergeCell ref="AA4:AF4"/>
    <mergeCell ref="AA1:AF1"/>
    <mergeCell ref="C4:H4"/>
    <mergeCell ref="A21:D21"/>
    <mergeCell ref="A1:H1"/>
    <mergeCell ref="P1:W1"/>
    <mergeCell ref="R4:W4"/>
    <mergeCell ref="P21:S2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114-PC</dc:creator>
  <cp:lastModifiedBy>VASTUKALA-22</cp:lastModifiedBy>
  <dcterms:created xsi:type="dcterms:W3CDTF">2015-06-05T18:17:20Z</dcterms:created>
  <dcterms:modified xsi:type="dcterms:W3CDTF">2024-04-11T06:52:29Z</dcterms:modified>
</cp:coreProperties>
</file>