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Shreepati\"/>
    </mc:Choice>
  </mc:AlternateContent>
  <xr:revisionPtr revIDLastSave="0" documentId="13_ncr:1_{9BC1E527-ADEF-4638-80A4-E61EC8BA94CF}" xr6:coauthVersionLast="47" xr6:coauthVersionMax="47" xr10:uidLastSave="{00000000-0000-0000-0000-000000000000}"/>
  <bookViews>
    <workbookView xWindow="0" yWindow="15" windowWidth="14025" windowHeight="15465" xr2:uid="{00000000-000D-0000-FFFF-FFFF00000000}"/>
  </bookViews>
  <sheets>
    <sheet name="Summary" sheetId="6" r:id="rId1"/>
    <sheet name="Arcade FMV" sheetId="7" r:id="rId2"/>
    <sheet name="Arcade RR" sheetId="5" r:id="rId3"/>
    <sheet name="Bay View" sheetId="4" r:id="rId4"/>
    <sheet name="Estate" sheetId="2" r:id="rId5"/>
    <sheet name="Garden" sheetId="3" r:id="rId6"/>
    <sheet name="Heritage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17" i="3" s="1"/>
  <c r="B14" i="3"/>
  <c r="C5" i="6"/>
  <c r="D4" i="6"/>
  <c r="D3" i="6" l="1"/>
  <c r="C3" i="6"/>
  <c r="C2" i="6"/>
  <c r="D2" i="6"/>
  <c r="B6" i="2"/>
  <c r="L6" i="6"/>
  <c r="C4" i="6"/>
  <c r="B6" i="3"/>
  <c r="B25" i="7"/>
  <c r="B24" i="7"/>
  <c r="B19" i="7"/>
  <c r="B9" i="7"/>
  <c r="B10" i="7" s="1"/>
  <c r="B7" i="7"/>
  <c r="C6" i="7"/>
  <c r="B5" i="7"/>
  <c r="B4" i="7"/>
  <c r="B13" i="7" s="1"/>
  <c r="B11" i="7" l="1"/>
  <c r="B12" i="7" s="1"/>
  <c r="B15" i="7" s="1"/>
  <c r="B20" i="7" s="1"/>
  <c r="B21" i="7" s="1"/>
  <c r="B27" i="7" s="1"/>
  <c r="B23" i="7" l="1"/>
  <c r="B22" i="7"/>
  <c r="G5" i="6" l="1"/>
  <c r="J6" i="6"/>
  <c r="D12" i="6"/>
  <c r="C12" i="6"/>
  <c r="C23" i="5"/>
  <c r="C21" i="5"/>
  <c r="C20" i="5"/>
  <c r="C14" i="5"/>
  <c r="C15" i="5" s="1"/>
  <c r="P10" i="5"/>
  <c r="P11" i="5" s="1"/>
  <c r="P12" i="5" s="1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D8" i="5"/>
  <c r="C4" i="5"/>
  <c r="C5" i="5" s="1"/>
  <c r="E12" i="6" l="1"/>
  <c r="F12" i="6" s="1"/>
  <c r="H12" i="6" s="1"/>
  <c r="C7" i="5"/>
  <c r="C9" i="5" s="1"/>
  <c r="C10" i="5" s="1"/>
  <c r="E10" i="5" s="1"/>
  <c r="C22" i="5" s="1"/>
  <c r="C24" i="5" s="1"/>
  <c r="E5" i="5"/>
  <c r="B8" i="3" l="1"/>
  <c r="B9" i="3" s="1"/>
  <c r="B10" i="3" s="1"/>
  <c r="B11" i="3" s="1"/>
  <c r="B7" i="3"/>
  <c r="B11" i="1"/>
  <c r="E3" i="6"/>
  <c r="E5" i="6"/>
  <c r="B8" i="1"/>
  <c r="B9" i="1" s="1"/>
  <c r="B10" i="1" s="1"/>
  <c r="B6" i="1"/>
  <c r="B7" i="1" s="1"/>
  <c r="C2" i="1"/>
  <c r="D2" i="1" s="1"/>
  <c r="B8" i="2"/>
  <c r="B9" i="2" s="1"/>
  <c r="B10" i="2" s="1"/>
  <c r="G3" i="6" s="1"/>
  <c r="B7" i="2"/>
  <c r="C2" i="2"/>
  <c r="D2" i="2" s="1"/>
  <c r="E2" i="6"/>
  <c r="B8" i="4"/>
  <c r="B9" i="4" s="1"/>
  <c r="B10" i="4" s="1"/>
  <c r="B7" i="4"/>
  <c r="B6" i="4"/>
  <c r="C2" i="4"/>
  <c r="D2" i="4" s="1"/>
  <c r="E4" i="6"/>
  <c r="C2" i="3"/>
  <c r="D2" i="3" s="1"/>
  <c r="G2" i="6" l="1"/>
  <c r="H2" i="6" s="1"/>
  <c r="I2" i="6" s="1"/>
  <c r="B11" i="4"/>
  <c r="B11" i="2"/>
  <c r="F3" i="6"/>
  <c r="H3" i="6"/>
  <c r="I3" i="6" s="1"/>
  <c r="F4" i="6"/>
  <c r="F5" i="6"/>
  <c r="H5" i="6"/>
  <c r="I5" i="6" s="1"/>
  <c r="F2" i="6"/>
  <c r="E6" i="6"/>
  <c r="K5" i="6" l="1"/>
  <c r="M5" i="6"/>
  <c r="K2" i="6"/>
  <c r="M2" i="6"/>
  <c r="K3" i="6"/>
  <c r="M3" i="6"/>
  <c r="F6" i="6"/>
  <c r="G4" i="6"/>
  <c r="G6" i="6" l="1"/>
  <c r="H4" i="6"/>
  <c r="I4" i="6" l="1"/>
  <c r="M4" i="6" s="1"/>
  <c r="M6" i="6" s="1"/>
  <c r="H6" i="6"/>
  <c r="K4" i="6" l="1"/>
  <c r="K6" i="6" s="1"/>
  <c r="I6" i="6"/>
</calcChain>
</file>

<file path=xl/sharedStrings.xml><?xml version="1.0" encoding="utf-8"?>
<sst xmlns="http://schemas.openxmlformats.org/spreadsheetml/2006/main" count="145" uniqueCount="95">
  <si>
    <t>Sr. No.</t>
  </si>
  <si>
    <t>Particulars</t>
  </si>
  <si>
    <t>BUA FSI Area in Sq. M.</t>
  </si>
  <si>
    <t>RR Land Rate / Sq. M.</t>
  </si>
  <si>
    <r>
      <t xml:space="preserve">Value of FSI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</si>
  <si>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r>
      <t xml:space="preserve">Value of FSI in </t>
    </r>
    <r>
      <rPr>
        <b/>
        <sz val="11"/>
        <color theme="1"/>
        <rFont val="Rupee Foradian"/>
        <family val="2"/>
      </rPr>
      <t>`</t>
    </r>
  </si>
  <si>
    <t>Shreepati Garden</t>
  </si>
  <si>
    <r>
      <t xml:space="preserve">Value of FSI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</t>
    </r>
  </si>
  <si>
    <t xml:space="preserve">Deduction </t>
  </si>
  <si>
    <t>Basic BUA FSI for Developer</t>
  </si>
  <si>
    <t>Add. 35% Fungible Area</t>
  </si>
  <si>
    <t>Total Area</t>
  </si>
  <si>
    <t>RR Rate</t>
  </si>
  <si>
    <t>50% RR Rate</t>
  </si>
  <si>
    <t>Fungible Area Cost</t>
  </si>
  <si>
    <t>Shreepati Bay View</t>
  </si>
  <si>
    <t>Shreepati Arcade</t>
  </si>
  <si>
    <t>Shreepati Estate</t>
  </si>
  <si>
    <t>Shreepati Heritage</t>
  </si>
  <si>
    <t>`</t>
  </si>
  <si>
    <t xml:space="preserve">Fungible Area Cost </t>
  </si>
  <si>
    <t>Fungible Area Cost in Cr.</t>
  </si>
  <si>
    <t>Flat No. 302 &amp; 303</t>
  </si>
  <si>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</si>
  <si>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</si>
  <si>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</si>
  <si>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</si>
  <si>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</si>
  <si>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</si>
  <si>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(5th -10th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</si>
  <si>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</si>
  <si>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</si>
  <si>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</si>
  <si>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</si>
  <si>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</si>
  <si>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</si>
  <si>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</si>
  <si>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</si>
  <si>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</si>
  <si>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</si>
  <si>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</si>
  <si>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</si>
  <si>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</si>
  <si>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</si>
  <si>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</si>
  <si>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</si>
  <si>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</si>
  <si>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</si>
  <si>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</si>
  <si>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</si>
  <si>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</si>
  <si>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</si>
  <si>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Carpet Area in Sq. Ft.</t>
  </si>
  <si>
    <t>Ledge Area in Sq. Ft.</t>
  </si>
  <si>
    <t>Total Carpet Area in Sq. Ft.</t>
  </si>
  <si>
    <t>Built Up Area in Sq. Ft. (20% loading on Total Carpet Area)</t>
  </si>
  <si>
    <t>RR Rate per Sq. Ft.</t>
  </si>
  <si>
    <t>Value of the Flat 601</t>
  </si>
  <si>
    <t>Value of the Flat 601 in Cr.</t>
  </si>
  <si>
    <t>TOTAL</t>
  </si>
  <si>
    <t>BUA Area in Sq. Ft.</t>
  </si>
  <si>
    <t>RR Rate / Sq. Ft.</t>
  </si>
  <si>
    <t>Diff</t>
  </si>
  <si>
    <t>Remark</t>
  </si>
  <si>
    <r>
      <t xml:space="preserve">Previous Valuation Value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</si>
  <si>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r>
      <t xml:space="preserve">Net Value of FSI in </t>
    </r>
    <r>
      <rPr>
        <b/>
        <sz val="11"/>
        <color theme="1"/>
        <rFont val="Rupee Foradian"/>
        <family val="2"/>
      </rPr>
      <t>`</t>
    </r>
  </si>
  <si>
    <r>
      <t xml:space="preserve">Deduction of Fungible Premium Cost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</si>
  <si>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r>
      <t xml:space="preserve">Net Value of FSI in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Cr.</t>
    </r>
  </si>
  <si>
    <t>Flat No. 303</t>
  </si>
  <si>
    <t>New Construction Rate</t>
  </si>
  <si>
    <t>rate on 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</si>
  <si>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</si>
  <si>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</si>
  <si>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</si>
  <si>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</si>
  <si>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</si>
  <si>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</si>
  <si>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</si>
  <si>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</si>
  <si>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</si>
  <si>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</si>
  <si>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Flat</t>
  </si>
  <si>
    <t>Balcony Area</t>
  </si>
  <si>
    <t xml:space="preserve">Total Carpet Area </t>
  </si>
  <si>
    <t>Flat Value</t>
  </si>
  <si>
    <t>FMV Value</t>
  </si>
  <si>
    <t>RV Value</t>
  </si>
  <si>
    <t>DV Value</t>
  </si>
  <si>
    <t>Govt. Value</t>
  </si>
  <si>
    <t>IV</t>
  </si>
  <si>
    <t>RR Value</t>
  </si>
  <si>
    <t>Rental Value</t>
  </si>
  <si>
    <t>Carpet Area</t>
  </si>
  <si>
    <t>New Diff.</t>
  </si>
  <si>
    <t>New Calculation by the developer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</si>
</sst>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Rupee Foradian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43" fontId="0" fillId="0" borderId="0" xfId="1" applyFont="1"/>
    <xf numFmtId="43" fontId="3" fillId="0" borderId="0" xfId="1" applyFont="1"/>
    <xf numFmtId="0" fontId="3" fillId="0" borderId="0" xfId="0" applyFont="1"/>
    <xf numFmtId="43" fontId="3" fillId="0" borderId="1" xfId="1" applyFont="1" applyBorder="1"/>
    <xf numFmtId="43" fontId="3" fillId="0" borderId="1" xfId="0" applyNumberFormat="1" applyFont="1" applyBorder="1"/>
    <xf numFmtId="43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0" fontId="0" fillId="0" borderId="0" xfId="0" applyAlignment="1">
      <alignment horizontal="center"/>
    </xf>
    <xf numFmtId="43" fontId="0" fillId="0" borderId="1" xfId="1" applyFont="1" applyFill="1" applyBorder="1"/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8" xfId="0" applyBorder="1"/>
    <xf numFmtId="0" fontId="6" fillId="0" borderId="8" xfId="0" applyFont="1" applyBorder="1" applyAlignment="1">
      <alignment wrapText="1"/>
    </xf>
    <xf numFmtId="0" fontId="0" fillId="0" borderId="9" xfId="0" applyBorder="1"/>
    <xf numFmtId="0" fontId="6" fillId="0" borderId="4" xfId="0" applyFont="1" applyBorder="1"/>
    <xf numFmtId="0" fontId="0" fillId="0" borderId="10" xfId="0" applyBorder="1"/>
    <xf numFmtId="0" fontId="0" fillId="0" borderId="5" xfId="0" applyBorder="1"/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13" xfId="0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0" fillId="0" borderId="15" xfId="0" applyBorder="1"/>
    <xf numFmtId="43" fontId="0" fillId="0" borderId="1" xfId="0" applyNumberFormat="1" applyBorder="1"/>
    <xf numFmtId="0" fontId="0" fillId="0" borderId="14" xfId="0" applyBorder="1"/>
    <xf numFmtId="0" fontId="6" fillId="0" borderId="11" xfId="0" applyFont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Border="1"/>
    <xf numFmtId="9" fontId="0" fillId="0" borderId="1" xfId="1" applyNumberFormat="1" applyFont="1" applyFill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3" xfId="0" quotePrefix="1" applyBorder="1"/>
    <xf numFmtId="9" fontId="0" fillId="0" borderId="14" xfId="0" applyNumberFormat="1" applyBorder="1"/>
    <xf numFmtId="17" fontId="0" fillId="0" borderId="13" xfId="0" quotePrefix="1" applyNumberFormat="1" applyBorder="1"/>
    <xf numFmtId="43" fontId="0" fillId="0" borderId="0" xfId="1" applyFont="1" applyFill="1" applyBorder="1"/>
    <xf numFmtId="0" fontId="2" fillId="0" borderId="1" xfId="0" applyFont="1" applyBorder="1"/>
    <xf numFmtId="0" fontId="2" fillId="0" borderId="1" xfId="1" applyNumberFormat="1" applyFont="1" applyFill="1" applyBorder="1"/>
    <xf numFmtId="0" fontId="0" fillId="0" borderId="16" xfId="0" applyBorder="1"/>
    <xf numFmtId="9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1" xfId="0" applyFont="1" applyBorder="1"/>
    <xf numFmtId="0" fontId="6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43" fontId="4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43" fontId="3" fillId="0" borderId="1" xfId="1" applyFont="1" applyBorder="1" applyAlignment="1"/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5" xfId="0" applyFont="1" applyBorder="1"/>
    <xf numFmtId="0" fontId="0" fillId="0" borderId="24" xfId="0" applyBorder="1"/>
    <xf numFmtId="43" fontId="9" fillId="0" borderId="0" xfId="1" applyFont="1" applyBorder="1"/>
    <xf numFmtId="43" fontId="9" fillId="2" borderId="0" xfId="1" applyFont="1" applyFill="1" applyBorder="1"/>
    <xf numFmtId="0" fontId="0" fillId="0" borderId="24" xfId="0" applyBorder="1" applyAlignment="1">
      <alignment wrapText="1"/>
    </xf>
    <xf numFmtId="0" fontId="9" fillId="0" borderId="0" xfId="0" applyFont="1"/>
    <xf numFmtId="10" fontId="9" fillId="0" borderId="0" xfId="0" applyNumberFormat="1" applyFont="1"/>
    <xf numFmtId="0" fontId="0" fillId="2" borderId="24" xfId="0" applyFill="1" applyBorder="1"/>
    <xf numFmtId="43" fontId="9" fillId="2" borderId="0" xfId="1" applyFont="1" applyFill="1"/>
    <xf numFmtId="43" fontId="9" fillId="0" borderId="0" xfId="0" applyNumberFormat="1" applyFont="1"/>
    <xf numFmtId="43" fontId="8" fillId="0" borderId="0" xfId="0" applyNumberFormat="1" applyFont="1"/>
    <xf numFmtId="0" fontId="0" fillId="0" borderId="26" xfId="0" applyBorder="1"/>
    <xf numFmtId="43" fontId="8" fillId="0" borderId="2" xfId="0" applyNumberFormat="1" applyFont="1" applyBorder="1"/>
    <xf numFmtId="0" fontId="8" fillId="0" borderId="0" xfId="0" applyFont="1"/>
    <xf numFmtId="0" fontId="8" fillId="0" borderId="24" xfId="0" applyFont="1" applyBorder="1"/>
    <xf numFmtId="0" fontId="4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46C8-880C-4D3E-A43E-B0EF049FF7E2}">
  <sheetPr>
    <pageSetUpPr fitToPage="1"/>
  </sheetPr>
  <dimension ref="A1:N24"/>
  <sheetViews>
    <sheetView tabSelected="1" workbookViewId="0">
      <selection activeCell="F10" sqref="F10"/>
    </sheetView>
  </sheetViews>
  <sheetFormatPr defaultRowHeight="15" x14ac:dyDescent="0.25"/>
  <cols>
    <col min="1" max="1" width="7.42578125" style="10" bestFit="1" customWidth="1"/>
    <col min="2" max="2" width="16.140625" bestFit="1" customWidth="1"/>
    <col min="3" max="3" width="13.7109375" customWidth="1"/>
    <col min="4" max="4" width="14.140625" customWidth="1"/>
    <col min="5" max="5" width="17.28515625" bestFit="1" customWidth="1"/>
    <col min="6" max="6" width="13.28515625" customWidth="1"/>
    <col min="7" max="7" width="23" customWidth="1"/>
    <col min="8" max="8" width="18.5703125" bestFit="1" customWidth="1"/>
    <col min="9" max="9" width="14.42578125" customWidth="1"/>
    <col min="10" max="10" width="17.42578125" customWidth="1"/>
    <col min="11" max="11" width="9.28515625" bestFit="1" customWidth="1"/>
    <col min="12" max="12" width="14.7109375" customWidth="1"/>
    <col min="13" max="13" width="8.85546875" bestFit="1" customWidth="1"/>
    <col min="14" max="14" width="8" style="68" bestFit="1" customWidth="1"/>
  </cols>
  <sheetData>
    <row r="1" spans="1:14" s="68" customFormat="1" ht="49.5" x14ac:dyDescent="0.25">
      <c r="A1" s="65" t="s">
        <v>0</v>
      </c>
      <c r="B1" s="65" t="s">
        <v>1</v>
      </c>
      <c r="C1" s="65" t="s">
        <v>2</v>
      </c>
      <c r="D1" s="65" t="s">
        <v>3</v>
      </c>
      <c r="E1" s="66" t="s">
        <v>7</v>
      </c>
      <c r="F1" s="66" t="s">
        <v>4</v>
      </c>
      <c r="G1" s="66" t="s">
        <v>66</v>
      </c>
      <c r="H1" s="66" t="s">
        <v>65</v>
      </c>
      <c r="I1" s="66" t="s">
        <v>67</v>
      </c>
      <c r="J1" s="65" t="s">
        <v>64</v>
      </c>
      <c r="K1" s="67" t="s">
        <v>62</v>
      </c>
      <c r="L1" s="67" t="s">
        <v>94</v>
      </c>
      <c r="M1" s="67" t="s">
        <v>93</v>
      </c>
      <c r="N1" s="67" t="s">
        <v>63</v>
      </c>
    </row>
    <row r="2" spans="1:14" ht="16.5" x14ac:dyDescent="0.25">
      <c r="A2" s="11">
        <v>1</v>
      </c>
      <c r="B2" s="60" t="s">
        <v>15</v>
      </c>
      <c r="C2" s="58">
        <f>'Bay View'!A2</f>
        <v>30815.79</v>
      </c>
      <c r="D2" s="58">
        <f>'Bay View'!B2</f>
        <v>118211.46</v>
      </c>
      <c r="E2" s="58">
        <f>ROUND(C2*D2,0)</f>
        <v>3642779527</v>
      </c>
      <c r="F2" s="59">
        <f>E2/10^7</f>
        <v>364.27795270000001</v>
      </c>
      <c r="G2" s="59">
        <f>'Bay View'!B10</f>
        <v>472212138</v>
      </c>
      <c r="H2" s="59">
        <f>E2-G2</f>
        <v>3170567389</v>
      </c>
      <c r="I2" s="59">
        <f>H2/10^7</f>
        <v>317.05673890000003</v>
      </c>
      <c r="J2" s="59">
        <v>380.6</v>
      </c>
      <c r="K2" s="59">
        <f>I2-J2</f>
        <v>-63.543261099999995</v>
      </c>
      <c r="L2" s="59">
        <v>317.06</v>
      </c>
      <c r="M2" s="59">
        <f>I2-L2</f>
        <v>-3.2610999999747037E-3</v>
      </c>
      <c r="N2" s="62"/>
    </row>
    <row r="3" spans="1:14" ht="16.5" x14ac:dyDescent="0.25">
      <c r="A3" s="11">
        <v>2</v>
      </c>
      <c r="B3" s="60" t="s">
        <v>17</v>
      </c>
      <c r="C3" s="58">
        <f>Estate!A2</f>
        <v>254848.6</v>
      </c>
      <c r="D3" s="58">
        <f>Estate!B2</f>
        <v>110550.06</v>
      </c>
      <c r="E3" s="58">
        <f>ROUND(C3*D3,0)</f>
        <v>28173528021</v>
      </c>
      <c r="F3" s="59">
        <f>E3/10^7</f>
        <v>2817.3528021000002</v>
      </c>
      <c r="G3" s="59">
        <f>Estate!B10</f>
        <v>3652123988</v>
      </c>
      <c r="H3" s="59">
        <f t="shared" ref="H3:H5" si="0">E3-G3</f>
        <v>24521404033</v>
      </c>
      <c r="I3" s="59">
        <f t="shared" ref="I3:I5" si="1">H3/10^7</f>
        <v>2452.1404032999999</v>
      </c>
      <c r="J3" s="59">
        <v>4548</v>
      </c>
      <c r="K3" s="59">
        <f>I3-J3</f>
        <v>-2095.8595967000001</v>
      </c>
      <c r="L3" s="59">
        <v>2615.2600000000002</v>
      </c>
      <c r="M3" s="59">
        <f t="shared" ref="M3:M5" si="2">I3-L3</f>
        <v>-163.11959670000033</v>
      </c>
      <c r="N3" s="62"/>
    </row>
    <row r="4" spans="1:14" ht="16.5" x14ac:dyDescent="0.25">
      <c r="A4" s="11">
        <v>3</v>
      </c>
      <c r="B4" s="60" t="s">
        <v>6</v>
      </c>
      <c r="C4" s="58">
        <f>Garden!A2</f>
        <v>179231.71</v>
      </c>
      <c r="D4" s="58">
        <f>Garden!B2</f>
        <v>110131.24</v>
      </c>
      <c r="E4" s="58">
        <f>ROUND(C4*D4,0)</f>
        <v>19739010470</v>
      </c>
      <c r="F4" s="58">
        <f>E4/10^7</f>
        <v>1973.9010470000001</v>
      </c>
      <c r="G4" s="58">
        <f>Garden!B10</f>
        <v>2558760624</v>
      </c>
      <c r="H4" s="59">
        <f t="shared" si="0"/>
        <v>17180249846</v>
      </c>
      <c r="I4" s="59">
        <f t="shared" si="1"/>
        <v>1718.0249845999999</v>
      </c>
      <c r="J4" s="59">
        <v>1254</v>
      </c>
      <c r="K4" s="59">
        <f>I4-J4</f>
        <v>464.02498459999993</v>
      </c>
      <c r="L4" s="59">
        <v>1891.8</v>
      </c>
      <c r="M4" s="59">
        <f t="shared" si="2"/>
        <v>-173.77501540000003</v>
      </c>
      <c r="N4" s="62"/>
    </row>
    <row r="5" spans="1:14" ht="16.5" x14ac:dyDescent="0.25">
      <c r="A5" s="11">
        <v>4</v>
      </c>
      <c r="B5" s="60" t="s">
        <v>18</v>
      </c>
      <c r="C5" s="58">
        <f>Heritage!A2</f>
        <v>33871.74</v>
      </c>
      <c r="D5" s="58">
        <v>53760</v>
      </c>
      <c r="E5" s="58">
        <f>ROUND(C5*D5,0)</f>
        <v>1820944742</v>
      </c>
      <c r="F5" s="59">
        <f>E5/10^7</f>
        <v>182.09447420000001</v>
      </c>
      <c r="G5" s="59">
        <f>Heritage!B10</f>
        <v>236048413</v>
      </c>
      <c r="H5" s="59">
        <f t="shared" si="0"/>
        <v>1584896329</v>
      </c>
      <c r="I5" s="59">
        <f t="shared" si="1"/>
        <v>158.4896329</v>
      </c>
      <c r="J5" s="59">
        <v>192</v>
      </c>
      <c r="K5" s="59">
        <f>I5-J5</f>
        <v>-33.510367099999996</v>
      </c>
      <c r="L5" s="59">
        <v>158.52000000000001</v>
      </c>
      <c r="M5" s="59">
        <f t="shared" si="2"/>
        <v>-3.0367100000006531E-2</v>
      </c>
      <c r="N5" s="62"/>
    </row>
    <row r="6" spans="1:14" ht="16.5" x14ac:dyDescent="0.25">
      <c r="A6" s="84" t="s">
        <v>59</v>
      </c>
      <c r="B6" s="84"/>
      <c r="C6" s="84"/>
      <c r="D6" s="84"/>
      <c r="E6" s="9">
        <f>SUM(E2:E5)</f>
        <v>53376262760</v>
      </c>
      <c r="F6" s="9">
        <f t="shared" ref="F6:K6" si="3">SUM(F2:F5)</f>
        <v>5337.6262760000009</v>
      </c>
      <c r="G6" s="9">
        <f t="shared" si="3"/>
        <v>6919145163</v>
      </c>
      <c r="H6" s="9">
        <f t="shared" si="3"/>
        <v>46457117597</v>
      </c>
      <c r="I6" s="9">
        <f t="shared" si="3"/>
        <v>4645.7117596999997</v>
      </c>
      <c r="J6" s="9">
        <f t="shared" si="3"/>
        <v>6374.6</v>
      </c>
      <c r="K6" s="9">
        <f t="shared" si="3"/>
        <v>-1728.8882403000002</v>
      </c>
      <c r="L6" s="9">
        <f>SUM(L2:L5)</f>
        <v>4982.6400000000003</v>
      </c>
      <c r="M6" s="9">
        <f>SUM(M2:M5)</f>
        <v>-336.92824030000031</v>
      </c>
      <c r="N6" s="61"/>
    </row>
    <row r="8" spans="1:14" x14ac:dyDescent="0.25">
      <c r="D8" s="12"/>
      <c r="I8" s="12"/>
    </row>
    <row r="11" spans="1:14" ht="16.5" hidden="1" x14ac:dyDescent="0.25">
      <c r="A11" s="6" t="s">
        <v>0</v>
      </c>
      <c r="B11" s="6" t="s">
        <v>1</v>
      </c>
      <c r="C11" s="6" t="s">
        <v>60</v>
      </c>
      <c r="D11" s="6" t="s">
        <v>61</v>
      </c>
      <c r="E11" s="7" t="s">
        <v>7</v>
      </c>
      <c r="F11" s="7" t="s">
        <v>4</v>
      </c>
      <c r="G11" s="6" t="s">
        <v>64</v>
      </c>
      <c r="H11" s="57" t="s">
        <v>62</v>
      </c>
      <c r="I11" s="57" t="s">
        <v>63</v>
      </c>
    </row>
    <row r="12" spans="1:14" ht="16.5" hidden="1" x14ac:dyDescent="0.3">
      <c r="A12" s="56">
        <v>1</v>
      </c>
      <c r="B12" s="63" t="s">
        <v>16</v>
      </c>
      <c r="C12" s="64">
        <f>'Arcade RR'!C21</f>
        <v>1026.3720000000001</v>
      </c>
      <c r="D12" s="64">
        <f>'Arcade RR'!C22</f>
        <v>43303</v>
      </c>
      <c r="E12" s="64">
        <f>ROUND(C12*D12,0)</f>
        <v>44444987</v>
      </c>
      <c r="F12" s="5">
        <f>E12/10^7</f>
        <v>4.4444986999999996</v>
      </c>
      <c r="G12" s="5">
        <v>14.21</v>
      </c>
      <c r="H12" s="5">
        <f>F12-G12</f>
        <v>-9.7655013000000004</v>
      </c>
      <c r="I12" s="63"/>
    </row>
    <row r="24" spans="7:7" x14ac:dyDescent="0.25">
      <c r="G24">
        <v>1</v>
      </c>
    </row>
  </sheetData>
  <mergeCells count="1">
    <mergeCell ref="A6:D6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4658-105F-4900-89D0-6027A0A33736}">
  <dimension ref="A1:C27"/>
  <sheetViews>
    <sheetView workbookViewId="0">
      <selection activeCell="C23" sqref="C23"/>
    </sheetView>
  </sheetViews>
  <sheetFormatPr defaultRowHeight="15" x14ac:dyDescent="0.25"/>
  <cols>
    <col min="1" max="1" width="21.7109375" bestFit="1" customWidth="1"/>
    <col min="2" max="2" width="14.28515625" bestFit="1" customWidth="1"/>
    <col min="3" max="3" width="11.5703125" bestFit="1" customWidth="1"/>
    <col min="6" max="6" width="10" bestFit="1" customWidth="1"/>
  </cols>
  <sheetData>
    <row r="1" spans="1:3" x14ac:dyDescent="0.25">
      <c r="A1" s="85" t="s">
        <v>68</v>
      </c>
      <c r="B1" s="86"/>
      <c r="C1" s="69"/>
    </row>
    <row r="2" spans="1:3" x14ac:dyDescent="0.25">
      <c r="A2" s="70" t="s">
        <v>69</v>
      </c>
      <c r="B2" s="71">
        <v>82000</v>
      </c>
      <c r="C2" s="72" t="s">
        <v>70</v>
      </c>
    </row>
    <row r="3" spans="1:3" ht="30" x14ac:dyDescent="0.25">
      <c r="A3" s="73" t="s">
        <v>71</v>
      </c>
      <c r="B3" s="71">
        <v>3000</v>
      </c>
    </row>
    <row r="4" spans="1:3" x14ac:dyDescent="0.25">
      <c r="A4" s="70" t="s">
        <v>72</v>
      </c>
      <c r="B4" s="71">
        <f>B2-B3</f>
        <v>79000</v>
      </c>
    </row>
    <row r="5" spans="1:3" x14ac:dyDescent="0.25">
      <c r="A5" s="70" t="s">
        <v>73</v>
      </c>
      <c r="B5" s="71">
        <f>B3</f>
        <v>3000</v>
      </c>
    </row>
    <row r="6" spans="1:3" x14ac:dyDescent="0.25">
      <c r="A6" s="70" t="s">
        <v>74</v>
      </c>
      <c r="B6" s="74">
        <v>31</v>
      </c>
      <c r="C6">
        <f>2023-2002</f>
        <v>21</v>
      </c>
    </row>
    <row r="7" spans="1:3" x14ac:dyDescent="0.25">
      <c r="A7" s="70" t="s">
        <v>75</v>
      </c>
      <c r="B7" s="74">
        <f>B8-B6</f>
        <v>29</v>
      </c>
    </row>
    <row r="8" spans="1:3" x14ac:dyDescent="0.25">
      <c r="A8" s="70" t="s">
        <v>76</v>
      </c>
      <c r="B8" s="74">
        <v>60</v>
      </c>
    </row>
    <row r="9" spans="1:3" ht="30" x14ac:dyDescent="0.25">
      <c r="A9" s="73" t="s">
        <v>77</v>
      </c>
      <c r="B9" s="74">
        <f>90*B6/B8</f>
        <v>46.5</v>
      </c>
    </row>
    <row r="10" spans="1:3" x14ac:dyDescent="0.25">
      <c r="A10" s="70"/>
      <c r="B10" s="75">
        <f>B9%</f>
        <v>0.46500000000000002</v>
      </c>
    </row>
    <row r="11" spans="1:3" x14ac:dyDescent="0.25">
      <c r="A11" s="70" t="s">
        <v>78</v>
      </c>
      <c r="B11" s="71">
        <f>B5*B10</f>
        <v>1395</v>
      </c>
    </row>
    <row r="12" spans="1:3" x14ac:dyDescent="0.25">
      <c r="A12" s="70" t="s">
        <v>79</v>
      </c>
      <c r="B12" s="71">
        <f>B5-B11</f>
        <v>1605</v>
      </c>
    </row>
    <row r="13" spans="1:3" x14ac:dyDescent="0.25">
      <c r="A13" s="70" t="s">
        <v>72</v>
      </c>
      <c r="B13" s="71">
        <f>B4</f>
        <v>79000</v>
      </c>
    </row>
    <row r="14" spans="1:3" x14ac:dyDescent="0.25">
      <c r="B14" s="71"/>
    </row>
    <row r="15" spans="1:3" x14ac:dyDescent="0.25">
      <c r="A15" s="76" t="s">
        <v>80</v>
      </c>
      <c r="B15" s="72">
        <f>ROUND(B13+B12,0)</f>
        <v>80605</v>
      </c>
    </row>
    <row r="16" spans="1:3" x14ac:dyDescent="0.25">
      <c r="B16" s="74" t="s">
        <v>81</v>
      </c>
    </row>
    <row r="17" spans="1:3" x14ac:dyDescent="0.25">
      <c r="A17" s="76" t="s">
        <v>92</v>
      </c>
      <c r="B17" s="77">
        <v>840.46</v>
      </c>
    </row>
    <row r="18" spans="1:3" x14ac:dyDescent="0.25">
      <c r="A18" s="76" t="s">
        <v>82</v>
      </c>
      <c r="B18" s="77">
        <v>14.85</v>
      </c>
    </row>
    <row r="19" spans="1:3" x14ac:dyDescent="0.25">
      <c r="A19" s="76" t="s">
        <v>83</v>
      </c>
      <c r="B19" s="77">
        <f>B17+B18</f>
        <v>855.31000000000006</v>
      </c>
    </row>
    <row r="20" spans="1:3" x14ac:dyDescent="0.25">
      <c r="A20" s="76" t="s">
        <v>84</v>
      </c>
      <c r="B20" s="77">
        <f>B19*B15</f>
        <v>68942262.550000012</v>
      </c>
    </row>
    <row r="21" spans="1:3" x14ac:dyDescent="0.25">
      <c r="A21" s="70" t="s">
        <v>85</v>
      </c>
      <c r="B21" s="78">
        <f>B20</f>
        <v>68942262.550000012</v>
      </c>
      <c r="C21" s="1"/>
    </row>
    <row r="22" spans="1:3" x14ac:dyDescent="0.25">
      <c r="A22" s="70" t="s">
        <v>86</v>
      </c>
      <c r="B22" s="78">
        <f>B21*0.9</f>
        <v>62048036.295000009</v>
      </c>
      <c r="C22" s="1"/>
    </row>
    <row r="23" spans="1:3" x14ac:dyDescent="0.25">
      <c r="A23" s="70" t="s">
        <v>87</v>
      </c>
      <c r="B23" s="78">
        <f>B21*0.8</f>
        <v>55153810.040000014</v>
      </c>
      <c r="C23" s="1"/>
    </row>
    <row r="24" spans="1:3" x14ac:dyDescent="0.25">
      <c r="A24" s="70" t="s">
        <v>88</v>
      </c>
      <c r="B24" s="79">
        <f>'Arcade RR'!C23</f>
        <v>44444987</v>
      </c>
    </row>
    <row r="25" spans="1:3" x14ac:dyDescent="0.25">
      <c r="A25" s="80" t="s">
        <v>89</v>
      </c>
      <c r="B25" s="81">
        <f>B3*'Arcade RR'!C21</f>
        <v>3079116</v>
      </c>
    </row>
    <row r="26" spans="1:3" x14ac:dyDescent="0.25">
      <c r="A26" s="70" t="s">
        <v>90</v>
      </c>
      <c r="B26" s="82"/>
    </row>
    <row r="27" spans="1:3" x14ac:dyDescent="0.25">
      <c r="A27" s="83" t="s">
        <v>91</v>
      </c>
      <c r="B27" s="79">
        <f>ROUND(B21*0.03/12,0)</f>
        <v>172356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62E00-FA82-47AD-9C70-37F67A3C5D15}">
  <dimension ref="A1:Q75"/>
  <sheetViews>
    <sheetView workbookViewId="0">
      <selection activeCell="A2" sqref="A2"/>
    </sheetView>
  </sheetViews>
  <sheetFormatPr defaultRowHeight="15" x14ac:dyDescent="0.25"/>
  <cols>
    <col min="1" max="1" width="10.5703125" customWidth="1"/>
    <col min="2" max="2" width="52.85546875" bestFit="1" customWidth="1"/>
    <col min="3" max="3" width="14.28515625" bestFit="1" customWidth="1"/>
    <col min="4" max="4" width="10.7109375" bestFit="1" customWidth="1"/>
    <col min="5" max="5" width="15.42578125" bestFit="1" customWidth="1"/>
    <col min="6" max="6" width="6.42578125" bestFit="1" customWidth="1"/>
    <col min="7" max="7" width="8.28515625" style="15" customWidth="1"/>
    <col min="8" max="8" width="13.7109375" style="54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5"/>
    </row>
    <row r="2" spans="2:17" ht="15.75" thickBot="1" x14ac:dyDescent="0.3">
      <c r="B2" s="87" t="s">
        <v>22</v>
      </c>
      <c r="C2" s="87"/>
      <c r="D2" s="87"/>
      <c r="E2" s="87"/>
      <c r="F2" s="88"/>
      <c r="G2" s="89" t="s">
        <v>23</v>
      </c>
      <c r="H2" s="90"/>
    </row>
    <row r="3" spans="2:17" ht="27" thickBot="1" x14ac:dyDescent="0.3">
      <c r="B3" s="13" t="s">
        <v>24</v>
      </c>
      <c r="C3" s="16">
        <v>524150</v>
      </c>
      <c r="D3" s="13"/>
      <c r="E3" s="13"/>
      <c r="F3" s="13"/>
      <c r="G3" s="17" t="s">
        <v>25</v>
      </c>
      <c r="H3" s="18" t="s">
        <v>26</v>
      </c>
      <c r="I3" s="19"/>
      <c r="K3" s="20" t="s">
        <v>27</v>
      </c>
      <c r="L3" s="21"/>
      <c r="N3" s="22" t="s">
        <v>28</v>
      </c>
      <c r="O3" s="23"/>
      <c r="P3" s="23"/>
      <c r="Q3" s="24"/>
    </row>
    <row r="4" spans="2:17" ht="27" thickBot="1" x14ac:dyDescent="0.3">
      <c r="B4" s="13" t="s">
        <v>29</v>
      </c>
      <c r="C4" s="16">
        <f>C3*5%</f>
        <v>26207.5</v>
      </c>
      <c r="D4" s="13"/>
      <c r="E4" s="13"/>
      <c r="F4" s="13"/>
      <c r="G4" s="25">
        <v>1</v>
      </c>
      <c r="H4" s="26">
        <v>0</v>
      </c>
      <c r="I4" s="27">
        <v>100</v>
      </c>
      <c r="K4" s="28" t="s">
        <v>30</v>
      </c>
      <c r="L4" s="29" t="s">
        <v>31</v>
      </c>
      <c r="N4" s="17" t="s">
        <v>25</v>
      </c>
      <c r="O4" s="30" t="s">
        <v>26</v>
      </c>
      <c r="P4" s="31"/>
    </row>
    <row r="5" spans="2:17" ht="15.75" thickBot="1" x14ac:dyDescent="0.3">
      <c r="B5" s="13" t="s">
        <v>32</v>
      </c>
      <c r="C5" s="16">
        <f>C3+C4</f>
        <v>550357.5</v>
      </c>
      <c r="D5" s="13" t="s">
        <v>33</v>
      </c>
      <c r="E5" s="32">
        <f>ROUND(C5/10.764,0)</f>
        <v>51129</v>
      </c>
      <c r="F5" s="13" t="s">
        <v>34</v>
      </c>
      <c r="G5" s="25">
        <v>2</v>
      </c>
      <c r="H5" s="26">
        <v>0</v>
      </c>
      <c r="I5" s="27">
        <v>100</v>
      </c>
      <c r="K5" s="27">
        <v>2554.8123374210331</v>
      </c>
      <c r="L5" s="33">
        <v>2248.2348569305091</v>
      </c>
      <c r="N5" s="25">
        <v>1</v>
      </c>
      <c r="O5" s="34">
        <v>0</v>
      </c>
      <c r="P5" s="27">
        <v>100</v>
      </c>
    </row>
    <row r="6" spans="2:17" ht="15.75" thickBot="1" x14ac:dyDescent="0.3">
      <c r="B6" s="13" t="s">
        <v>35</v>
      </c>
      <c r="C6" s="16">
        <v>278610</v>
      </c>
      <c r="D6" s="13"/>
      <c r="E6" s="13"/>
      <c r="F6" s="13"/>
      <c r="G6" s="25">
        <v>3</v>
      </c>
      <c r="H6" s="26">
        <v>5</v>
      </c>
      <c r="I6" s="27">
        <v>95</v>
      </c>
      <c r="K6" s="35" t="s">
        <v>36</v>
      </c>
      <c r="L6" s="36" t="s">
        <v>37</v>
      </c>
      <c r="N6" s="25">
        <v>2</v>
      </c>
      <c r="O6" s="34">
        <v>0</v>
      </c>
      <c r="P6" s="27">
        <v>100</v>
      </c>
    </row>
    <row r="7" spans="2:17" ht="15.75" thickBot="1" x14ac:dyDescent="0.3">
      <c r="B7" s="13" t="s">
        <v>38</v>
      </c>
      <c r="C7" s="16">
        <f>C5-C6</f>
        <v>271747.5</v>
      </c>
      <c r="D7" s="13"/>
      <c r="E7" s="13"/>
      <c r="F7" s="13"/>
      <c r="G7" s="25">
        <v>4</v>
      </c>
      <c r="H7" s="26">
        <v>5</v>
      </c>
      <c r="I7" s="27">
        <v>95</v>
      </c>
      <c r="K7" s="27" t="s">
        <v>39</v>
      </c>
      <c r="L7" s="33" t="s">
        <v>40</v>
      </c>
      <c r="N7" s="25">
        <v>3</v>
      </c>
      <c r="O7" s="34">
        <v>5</v>
      </c>
      <c r="P7" s="27">
        <v>95</v>
      </c>
    </row>
    <row r="8" spans="2:17" ht="15.75" thickBot="1" x14ac:dyDescent="0.3">
      <c r="B8" s="13" t="s">
        <v>41</v>
      </c>
      <c r="C8" s="37">
        <v>0.31</v>
      </c>
      <c r="D8" s="38">
        <f>1-C8</f>
        <v>0.69</v>
      </c>
      <c r="E8" s="13"/>
      <c r="F8" s="13"/>
      <c r="G8" s="25">
        <v>5</v>
      </c>
      <c r="H8" s="26">
        <v>5</v>
      </c>
      <c r="I8" s="27">
        <v>95</v>
      </c>
      <c r="K8" s="27"/>
      <c r="L8" s="33"/>
      <c r="N8" s="25">
        <v>4</v>
      </c>
      <c r="O8" s="34">
        <v>5</v>
      </c>
      <c r="P8" s="27">
        <v>95</v>
      </c>
    </row>
    <row r="9" spans="2:17" ht="15.75" thickBot="1" x14ac:dyDescent="0.3">
      <c r="B9" s="39" t="s">
        <v>42</v>
      </c>
      <c r="C9" s="16">
        <f>ROUND(C7*D8,0)</f>
        <v>187506</v>
      </c>
      <c r="E9" s="13"/>
      <c r="F9" s="13"/>
      <c r="G9" s="25">
        <v>6</v>
      </c>
      <c r="H9" s="26">
        <v>6</v>
      </c>
      <c r="I9" s="27">
        <v>94</v>
      </c>
      <c r="K9" s="40" t="s">
        <v>43</v>
      </c>
      <c r="L9" s="41">
        <v>0.05</v>
      </c>
      <c r="N9" s="25">
        <v>5</v>
      </c>
      <c r="O9" s="34">
        <v>5</v>
      </c>
      <c r="P9" s="27">
        <v>95</v>
      </c>
    </row>
    <row r="10" spans="2:17" ht="15.75" thickBot="1" x14ac:dyDescent="0.3">
      <c r="B10" s="13" t="s">
        <v>44</v>
      </c>
      <c r="C10" s="16">
        <f>C6+C9</f>
        <v>466116</v>
      </c>
      <c r="D10" s="13" t="s">
        <v>33</v>
      </c>
      <c r="E10" s="32">
        <f>ROUND(C10/10.764,0)</f>
        <v>43303</v>
      </c>
      <c r="F10" s="13" t="s">
        <v>34</v>
      </c>
      <c r="G10" s="25">
        <v>7</v>
      </c>
      <c r="H10" s="26">
        <v>7</v>
      </c>
      <c r="I10" s="27">
        <v>93</v>
      </c>
      <c r="K10" s="42" t="s">
        <v>45</v>
      </c>
      <c r="L10" s="41">
        <v>0.1</v>
      </c>
      <c r="N10" s="25">
        <v>6</v>
      </c>
      <c r="O10" s="34">
        <v>6.5</v>
      </c>
      <c r="P10" s="27">
        <f t="shared" ref="P10:P63" si="0">P9-1.5</f>
        <v>93.5</v>
      </c>
    </row>
    <row r="11" spans="2:17" ht="15.75" thickBot="1" x14ac:dyDescent="0.3">
      <c r="C11" s="43"/>
      <c r="G11" s="25">
        <v>8</v>
      </c>
      <c r="H11" s="26">
        <v>8</v>
      </c>
      <c r="I11" s="27">
        <v>92</v>
      </c>
      <c r="K11" s="27" t="s">
        <v>46</v>
      </c>
      <c r="L11" s="41">
        <v>0.15</v>
      </c>
      <c r="N11" s="25">
        <v>7</v>
      </c>
      <c r="O11" s="34">
        <v>8</v>
      </c>
      <c r="P11" s="27">
        <f t="shared" si="0"/>
        <v>92</v>
      </c>
    </row>
    <row r="12" spans="2:17" ht="15.75" thickBot="1" x14ac:dyDescent="0.3">
      <c r="B12" s="44" t="s">
        <v>47</v>
      </c>
      <c r="C12" s="45">
        <v>2024</v>
      </c>
      <c r="E12" s="12"/>
      <c r="G12" s="25">
        <v>9</v>
      </c>
      <c r="H12" s="26">
        <v>9</v>
      </c>
      <c r="I12" s="27">
        <v>91</v>
      </c>
      <c r="K12" s="46" t="s">
        <v>48</v>
      </c>
      <c r="L12" s="47">
        <v>0.2</v>
      </c>
      <c r="N12" s="25">
        <v>8</v>
      </c>
      <c r="O12" s="34">
        <v>9.5</v>
      </c>
      <c r="P12" s="27">
        <f t="shared" si="0"/>
        <v>90.5</v>
      </c>
    </row>
    <row r="13" spans="2:17" ht="15.75" thickBot="1" x14ac:dyDescent="0.3">
      <c r="B13" s="44" t="s">
        <v>49</v>
      </c>
      <c r="C13" s="45">
        <v>1995</v>
      </c>
      <c r="D13" s="12"/>
      <c r="G13" s="25">
        <v>10</v>
      </c>
      <c r="H13" s="26">
        <v>10</v>
      </c>
      <c r="I13" s="27">
        <v>90</v>
      </c>
      <c r="K13" s="48"/>
      <c r="L13" s="49"/>
      <c r="N13" s="25">
        <v>9</v>
      </c>
      <c r="O13" s="34">
        <v>11</v>
      </c>
      <c r="P13" s="27">
        <f t="shared" si="0"/>
        <v>89</v>
      </c>
    </row>
    <row r="14" spans="2:17" ht="15.75" thickBot="1" x14ac:dyDescent="0.3">
      <c r="B14" s="44" t="s">
        <v>50</v>
      </c>
      <c r="C14" s="45">
        <f>C12-C13</f>
        <v>29</v>
      </c>
      <c r="G14" s="25">
        <v>11</v>
      </c>
      <c r="H14" s="26">
        <v>11</v>
      </c>
      <c r="I14" s="27">
        <v>89</v>
      </c>
      <c r="K14" s="50"/>
      <c r="L14" s="51"/>
      <c r="N14" s="25">
        <v>10</v>
      </c>
      <c r="O14" s="34">
        <v>12.5</v>
      </c>
      <c r="P14" s="27">
        <f t="shared" si="0"/>
        <v>87.5</v>
      </c>
    </row>
    <row r="15" spans="2:17" ht="17.25" thickBot="1" x14ac:dyDescent="0.35">
      <c r="B15" s="52" t="s">
        <v>51</v>
      </c>
      <c r="C15" s="44">
        <f>60-C14</f>
        <v>31</v>
      </c>
      <c r="G15" s="25">
        <v>12</v>
      </c>
      <c r="H15" s="26">
        <v>12</v>
      </c>
      <c r="I15" s="27">
        <v>88</v>
      </c>
      <c r="N15" s="25">
        <v>11</v>
      </c>
      <c r="O15" s="34">
        <v>14</v>
      </c>
      <c r="P15" s="27">
        <f t="shared" si="0"/>
        <v>86</v>
      </c>
    </row>
    <row r="16" spans="2:17" ht="15.75" thickBot="1" x14ac:dyDescent="0.3">
      <c r="E16" s="12"/>
      <c r="G16" s="25">
        <v>13</v>
      </c>
      <c r="H16" s="26">
        <v>13</v>
      </c>
      <c r="I16" s="27">
        <v>87</v>
      </c>
      <c r="J16" s="12"/>
      <c r="N16" s="25">
        <v>12</v>
      </c>
      <c r="O16" s="34">
        <v>15.5</v>
      </c>
      <c r="P16" s="27">
        <f t="shared" si="0"/>
        <v>84.5</v>
      </c>
    </row>
    <row r="17" spans="1:16" ht="15.75" thickBot="1" x14ac:dyDescent="0.3">
      <c r="G17" s="25">
        <v>14</v>
      </c>
      <c r="H17" s="26">
        <v>14</v>
      </c>
      <c r="I17" s="27">
        <v>86</v>
      </c>
      <c r="K17" s="12"/>
      <c r="L17" s="12"/>
      <c r="N17" s="25">
        <v>13</v>
      </c>
      <c r="O17" s="34">
        <v>17</v>
      </c>
      <c r="P17" s="27">
        <f t="shared" si="0"/>
        <v>83</v>
      </c>
    </row>
    <row r="18" spans="1:16" ht="15.75" thickBot="1" x14ac:dyDescent="0.3">
      <c r="B18" s="13" t="s">
        <v>52</v>
      </c>
      <c r="C18" s="16">
        <v>840.46</v>
      </c>
      <c r="G18" s="25">
        <v>15</v>
      </c>
      <c r="H18" s="26">
        <v>15</v>
      </c>
      <c r="I18" s="27">
        <v>85</v>
      </c>
      <c r="J18" s="12"/>
      <c r="L18" s="12"/>
      <c r="N18" s="25">
        <v>14</v>
      </c>
      <c r="O18" s="34">
        <v>18.5</v>
      </c>
      <c r="P18" s="27">
        <f t="shared" si="0"/>
        <v>81.5</v>
      </c>
    </row>
    <row r="19" spans="1:16" ht="15.75" thickBot="1" x14ac:dyDescent="0.3">
      <c r="B19" s="13" t="s">
        <v>53</v>
      </c>
      <c r="C19" s="16">
        <v>14.85</v>
      </c>
      <c r="G19" s="25">
        <v>16</v>
      </c>
      <c r="H19" s="26">
        <v>16</v>
      </c>
      <c r="I19" s="27">
        <v>84</v>
      </c>
      <c r="N19" s="25">
        <v>15</v>
      </c>
      <c r="O19" s="34">
        <v>20</v>
      </c>
      <c r="P19" s="27">
        <f t="shared" si="0"/>
        <v>80</v>
      </c>
    </row>
    <row r="20" spans="1:16" ht="15.75" thickBot="1" x14ac:dyDescent="0.3">
      <c r="B20" s="13" t="s">
        <v>54</v>
      </c>
      <c r="C20" s="16">
        <f>C18+C19</f>
        <v>855.31000000000006</v>
      </c>
      <c r="G20" s="25">
        <v>17</v>
      </c>
      <c r="H20" s="26">
        <v>17</v>
      </c>
      <c r="I20" s="27">
        <v>83</v>
      </c>
      <c r="N20" s="25">
        <v>16</v>
      </c>
      <c r="O20" s="34">
        <v>21.5</v>
      </c>
      <c r="P20" s="27">
        <f t="shared" si="0"/>
        <v>78.5</v>
      </c>
    </row>
    <row r="21" spans="1:16" ht="15.75" thickBot="1" x14ac:dyDescent="0.3">
      <c r="B21" s="13" t="s">
        <v>55</v>
      </c>
      <c r="C21" s="16">
        <f>C20*1.2</f>
        <v>1026.3720000000001</v>
      </c>
      <c r="G21" s="25">
        <v>18</v>
      </c>
      <c r="H21" s="26">
        <v>18</v>
      </c>
      <c r="I21" s="27">
        <v>82</v>
      </c>
      <c r="N21" s="25">
        <v>17</v>
      </c>
      <c r="O21" s="34">
        <v>23</v>
      </c>
      <c r="P21" s="27">
        <f t="shared" si="0"/>
        <v>77</v>
      </c>
    </row>
    <row r="22" spans="1:16" ht="15.75" thickBot="1" x14ac:dyDescent="0.3">
      <c r="B22" s="13" t="s">
        <v>56</v>
      </c>
      <c r="C22" s="32">
        <f>E10</f>
        <v>43303</v>
      </c>
      <c r="G22" s="25">
        <v>19</v>
      </c>
      <c r="H22" s="26">
        <v>19</v>
      </c>
      <c r="I22" s="27">
        <v>81</v>
      </c>
      <c r="N22" s="25">
        <v>18</v>
      </c>
      <c r="O22" s="34">
        <v>24.5</v>
      </c>
      <c r="P22" s="27">
        <f t="shared" si="0"/>
        <v>75.5</v>
      </c>
    </row>
    <row r="23" spans="1:16" ht="15.75" thickBot="1" x14ac:dyDescent="0.3">
      <c r="B23" s="13" t="s">
        <v>57</v>
      </c>
      <c r="C23" s="16">
        <f>ROUND(C21*C22,0)</f>
        <v>44444987</v>
      </c>
      <c r="G23" s="25">
        <v>20</v>
      </c>
      <c r="H23" s="26">
        <v>20</v>
      </c>
      <c r="I23" s="27">
        <v>80</v>
      </c>
      <c r="N23" s="25">
        <v>19</v>
      </c>
      <c r="O23" s="34">
        <v>26</v>
      </c>
      <c r="P23" s="27">
        <f t="shared" si="0"/>
        <v>74</v>
      </c>
    </row>
    <row r="24" spans="1:16" ht="15.75" thickBot="1" x14ac:dyDescent="0.3">
      <c r="B24" s="13" t="s">
        <v>58</v>
      </c>
      <c r="C24" s="32">
        <f>C23/10^7</f>
        <v>4.4444986999999996</v>
      </c>
      <c r="G24" s="25">
        <v>21</v>
      </c>
      <c r="H24" s="26">
        <v>21</v>
      </c>
      <c r="I24" s="27">
        <v>79</v>
      </c>
      <c r="N24" s="25">
        <v>20</v>
      </c>
      <c r="O24" s="34">
        <v>27.5</v>
      </c>
      <c r="P24" s="27">
        <f t="shared" si="0"/>
        <v>72.5</v>
      </c>
    </row>
    <row r="25" spans="1:16" ht="15.75" thickBot="1" x14ac:dyDescent="0.3">
      <c r="G25" s="25">
        <v>22</v>
      </c>
      <c r="H25" s="26">
        <v>22</v>
      </c>
      <c r="I25" s="27">
        <v>78</v>
      </c>
      <c r="N25" s="25">
        <v>21</v>
      </c>
      <c r="O25" s="34">
        <v>29</v>
      </c>
      <c r="P25" s="27">
        <f t="shared" si="0"/>
        <v>71</v>
      </c>
    </row>
    <row r="26" spans="1:16" ht="15.75" thickBot="1" x14ac:dyDescent="0.3">
      <c r="G26" s="25">
        <v>23</v>
      </c>
      <c r="H26" s="26">
        <v>23</v>
      </c>
      <c r="I26" s="27">
        <v>77</v>
      </c>
      <c r="N26" s="25">
        <v>22</v>
      </c>
      <c r="O26" s="34">
        <v>30.5</v>
      </c>
      <c r="P26" s="27">
        <f t="shared" si="0"/>
        <v>69.5</v>
      </c>
    </row>
    <row r="27" spans="1:16" ht="15.75" thickBot="1" x14ac:dyDescent="0.3">
      <c r="G27" s="25">
        <v>24</v>
      </c>
      <c r="H27" s="26">
        <v>24</v>
      </c>
      <c r="I27" s="27">
        <v>76</v>
      </c>
      <c r="N27" s="25">
        <v>23</v>
      </c>
      <c r="O27" s="34">
        <v>32</v>
      </c>
      <c r="P27" s="27">
        <f t="shared" si="0"/>
        <v>68</v>
      </c>
    </row>
    <row r="28" spans="1:16" ht="15.75" thickBot="1" x14ac:dyDescent="0.3">
      <c r="G28" s="25">
        <v>25</v>
      </c>
      <c r="H28" s="26">
        <v>25</v>
      </c>
      <c r="I28" s="27">
        <v>75</v>
      </c>
      <c r="N28" s="25">
        <v>24</v>
      </c>
      <c r="O28" s="34">
        <v>33.5</v>
      </c>
      <c r="P28" s="27">
        <f t="shared" si="0"/>
        <v>66.5</v>
      </c>
    </row>
    <row r="29" spans="1:16" ht="15.75" thickBot="1" x14ac:dyDescent="0.3">
      <c r="G29" s="25">
        <v>26</v>
      </c>
      <c r="H29" s="26">
        <v>26</v>
      </c>
      <c r="I29" s="27">
        <v>74</v>
      </c>
      <c r="N29" s="25">
        <v>25</v>
      </c>
      <c r="O29" s="34">
        <v>35</v>
      </c>
      <c r="P29" s="27">
        <f t="shared" si="0"/>
        <v>65</v>
      </c>
    </row>
    <row r="30" spans="1:16" ht="15.75" thickBot="1" x14ac:dyDescent="0.3">
      <c r="G30" s="25">
        <v>27</v>
      </c>
      <c r="H30" s="26">
        <v>27</v>
      </c>
      <c r="I30" s="27">
        <v>73</v>
      </c>
      <c r="N30" s="25">
        <v>26</v>
      </c>
      <c r="O30" s="34">
        <v>36.5</v>
      </c>
      <c r="P30" s="27">
        <f t="shared" si="0"/>
        <v>63.5</v>
      </c>
    </row>
    <row r="31" spans="1:16" ht="15.75" thickBot="1" x14ac:dyDescent="0.3">
      <c r="A31" s="13"/>
      <c r="G31" s="25">
        <v>28</v>
      </c>
      <c r="H31" s="26">
        <v>28</v>
      </c>
      <c r="I31" s="27">
        <v>72</v>
      </c>
      <c r="N31" s="25">
        <v>27</v>
      </c>
      <c r="O31" s="34">
        <v>38</v>
      </c>
      <c r="P31" s="27">
        <f t="shared" si="0"/>
        <v>62</v>
      </c>
    </row>
    <row r="32" spans="1:16" ht="15.75" thickBot="1" x14ac:dyDescent="0.3">
      <c r="A32" s="13"/>
      <c r="G32" s="25">
        <v>29</v>
      </c>
      <c r="H32" s="26">
        <v>29</v>
      </c>
      <c r="I32" s="27">
        <v>71</v>
      </c>
      <c r="N32" s="25">
        <v>28</v>
      </c>
      <c r="O32" s="34">
        <v>39.5</v>
      </c>
      <c r="P32" s="27">
        <f t="shared" si="0"/>
        <v>60.5</v>
      </c>
    </row>
    <row r="33" spans="1:16" ht="15.75" thickBot="1" x14ac:dyDescent="0.3">
      <c r="A33" s="13"/>
      <c r="G33" s="25">
        <v>30</v>
      </c>
      <c r="H33" s="26">
        <v>30</v>
      </c>
      <c r="I33" s="27">
        <v>70</v>
      </c>
      <c r="N33" s="25">
        <v>29</v>
      </c>
      <c r="O33" s="34">
        <v>41</v>
      </c>
      <c r="P33" s="27">
        <f t="shared" si="0"/>
        <v>59</v>
      </c>
    </row>
    <row r="34" spans="1:16" ht="15.75" thickBot="1" x14ac:dyDescent="0.3">
      <c r="A34" s="13"/>
      <c r="G34" s="25">
        <v>31</v>
      </c>
      <c r="H34" s="26">
        <v>31</v>
      </c>
      <c r="I34" s="27">
        <v>69</v>
      </c>
      <c r="N34" s="25">
        <v>30</v>
      </c>
      <c r="O34" s="34">
        <v>42.5</v>
      </c>
      <c r="P34" s="27">
        <f t="shared" si="0"/>
        <v>57.5</v>
      </c>
    </row>
    <row r="35" spans="1:16" ht="15.75" thickBot="1" x14ac:dyDescent="0.3">
      <c r="A35" s="13"/>
      <c r="G35" s="25">
        <v>32</v>
      </c>
      <c r="H35" s="26">
        <v>32</v>
      </c>
      <c r="I35" s="27">
        <v>68</v>
      </c>
      <c r="N35" s="25">
        <v>31</v>
      </c>
      <c r="O35" s="34">
        <v>44</v>
      </c>
      <c r="P35" s="27">
        <f t="shared" si="0"/>
        <v>56</v>
      </c>
    </row>
    <row r="36" spans="1:16" ht="15.75" thickBot="1" x14ac:dyDescent="0.3">
      <c r="A36" s="39"/>
      <c r="G36" s="25">
        <v>33</v>
      </c>
      <c r="H36" s="26">
        <v>33</v>
      </c>
      <c r="I36" s="27">
        <v>67</v>
      </c>
      <c r="N36" s="25">
        <v>32</v>
      </c>
      <c r="O36" s="34">
        <v>45.5</v>
      </c>
      <c r="P36" s="27">
        <f t="shared" si="0"/>
        <v>54.5</v>
      </c>
    </row>
    <row r="37" spans="1:16" ht="15.75" thickBot="1" x14ac:dyDescent="0.3">
      <c r="A37" s="13"/>
      <c r="G37" s="25">
        <v>34</v>
      </c>
      <c r="H37" s="26">
        <v>34</v>
      </c>
      <c r="I37" s="27">
        <v>66</v>
      </c>
      <c r="N37" s="25">
        <v>33</v>
      </c>
      <c r="O37" s="34">
        <v>47</v>
      </c>
      <c r="P37" s="27">
        <f t="shared" si="0"/>
        <v>53</v>
      </c>
    </row>
    <row r="38" spans="1:16" ht="15.75" thickBot="1" x14ac:dyDescent="0.3">
      <c r="G38" s="25">
        <v>35</v>
      </c>
      <c r="H38" s="26">
        <v>35</v>
      </c>
      <c r="I38" s="27">
        <v>65</v>
      </c>
      <c r="N38" s="25">
        <v>34</v>
      </c>
      <c r="O38" s="34">
        <v>48.5</v>
      </c>
      <c r="P38" s="27">
        <f t="shared" si="0"/>
        <v>51.5</v>
      </c>
    </row>
    <row r="39" spans="1:16" ht="15.75" thickBot="1" x14ac:dyDescent="0.3">
      <c r="G39" s="25">
        <v>36</v>
      </c>
      <c r="H39" s="26">
        <v>36</v>
      </c>
      <c r="I39" s="27">
        <v>64</v>
      </c>
      <c r="N39" s="25">
        <v>35</v>
      </c>
      <c r="O39" s="34">
        <v>50</v>
      </c>
      <c r="P39" s="27">
        <f t="shared" si="0"/>
        <v>50</v>
      </c>
    </row>
    <row r="40" spans="1:16" ht="15.75" thickBot="1" x14ac:dyDescent="0.3">
      <c r="G40" s="25">
        <v>37</v>
      </c>
      <c r="H40" s="26">
        <v>37</v>
      </c>
      <c r="I40" s="27">
        <v>63</v>
      </c>
      <c r="N40" s="25">
        <v>36</v>
      </c>
      <c r="O40" s="34">
        <v>51.5</v>
      </c>
      <c r="P40" s="27">
        <f t="shared" si="0"/>
        <v>48.5</v>
      </c>
    </row>
    <row r="41" spans="1:16" ht="15.75" thickBot="1" x14ac:dyDescent="0.3">
      <c r="G41" s="25">
        <v>38</v>
      </c>
      <c r="H41" s="26">
        <v>38</v>
      </c>
      <c r="I41" s="27">
        <v>62</v>
      </c>
      <c r="N41" s="25">
        <v>37</v>
      </c>
      <c r="O41" s="34">
        <v>53</v>
      </c>
      <c r="P41" s="27">
        <f t="shared" si="0"/>
        <v>47</v>
      </c>
    </row>
    <row r="42" spans="1:16" ht="15.75" thickBot="1" x14ac:dyDescent="0.3">
      <c r="G42" s="25">
        <v>39</v>
      </c>
      <c r="H42" s="26">
        <v>39</v>
      </c>
      <c r="I42" s="27">
        <v>61</v>
      </c>
      <c r="N42" s="25">
        <v>38</v>
      </c>
      <c r="O42" s="34">
        <v>54.5</v>
      </c>
      <c r="P42" s="27">
        <f t="shared" si="0"/>
        <v>45.5</v>
      </c>
    </row>
    <row r="43" spans="1:16" ht="15.75" thickBot="1" x14ac:dyDescent="0.3">
      <c r="G43" s="25">
        <v>40</v>
      </c>
      <c r="H43" s="26">
        <v>40</v>
      </c>
      <c r="I43" s="27">
        <v>60</v>
      </c>
      <c r="N43" s="25">
        <v>39</v>
      </c>
      <c r="O43" s="34">
        <v>56</v>
      </c>
      <c r="P43" s="27">
        <f t="shared" si="0"/>
        <v>44</v>
      </c>
    </row>
    <row r="44" spans="1:16" ht="15.75" thickBot="1" x14ac:dyDescent="0.3">
      <c r="G44" s="25">
        <v>41</v>
      </c>
      <c r="H44" s="26">
        <v>41</v>
      </c>
      <c r="I44" s="27">
        <v>59</v>
      </c>
      <c r="N44" s="25">
        <v>40</v>
      </c>
      <c r="O44" s="34">
        <v>57.5</v>
      </c>
      <c r="P44" s="27">
        <f t="shared" si="0"/>
        <v>42.5</v>
      </c>
    </row>
    <row r="45" spans="1:16" ht="15.75" thickBot="1" x14ac:dyDescent="0.3">
      <c r="G45" s="25">
        <v>42</v>
      </c>
      <c r="H45" s="26">
        <v>42</v>
      </c>
      <c r="I45" s="27">
        <v>58</v>
      </c>
      <c r="N45" s="25">
        <v>41</v>
      </c>
      <c r="O45" s="34">
        <v>59</v>
      </c>
      <c r="P45" s="27">
        <f t="shared" si="0"/>
        <v>41</v>
      </c>
    </row>
    <row r="46" spans="1:16" ht="15.75" thickBot="1" x14ac:dyDescent="0.3">
      <c r="G46" s="25">
        <v>43</v>
      </c>
      <c r="H46" s="26">
        <v>43</v>
      </c>
      <c r="I46" s="27">
        <v>57</v>
      </c>
      <c r="N46" s="25">
        <v>42</v>
      </c>
      <c r="O46" s="34">
        <v>60.5</v>
      </c>
      <c r="P46" s="27">
        <f t="shared" si="0"/>
        <v>39.5</v>
      </c>
    </row>
    <row r="47" spans="1:16" ht="15.75" thickBot="1" x14ac:dyDescent="0.3">
      <c r="G47" s="25">
        <v>44</v>
      </c>
      <c r="H47" s="26">
        <v>44</v>
      </c>
      <c r="I47" s="27">
        <v>56</v>
      </c>
      <c r="N47" s="25">
        <v>43</v>
      </c>
      <c r="O47" s="34">
        <v>62</v>
      </c>
      <c r="P47" s="27">
        <f t="shared" si="0"/>
        <v>38</v>
      </c>
    </row>
    <row r="48" spans="1:16" ht="15.75" thickBot="1" x14ac:dyDescent="0.3">
      <c r="G48" s="25">
        <v>45</v>
      </c>
      <c r="H48" s="26">
        <v>45</v>
      </c>
      <c r="I48" s="27">
        <v>55</v>
      </c>
      <c r="N48" s="25">
        <v>44</v>
      </c>
      <c r="O48" s="34">
        <v>63.5</v>
      </c>
      <c r="P48" s="27">
        <f t="shared" si="0"/>
        <v>36.5</v>
      </c>
    </row>
    <row r="49" spans="7:16" ht="15.75" thickBot="1" x14ac:dyDescent="0.3">
      <c r="G49" s="25">
        <v>46</v>
      </c>
      <c r="H49" s="26">
        <v>46</v>
      </c>
      <c r="I49" s="27">
        <v>54</v>
      </c>
      <c r="N49" s="25">
        <v>45</v>
      </c>
      <c r="O49" s="34">
        <v>65</v>
      </c>
      <c r="P49" s="27">
        <f t="shared" si="0"/>
        <v>35</v>
      </c>
    </row>
    <row r="50" spans="7:16" ht="15.75" thickBot="1" x14ac:dyDescent="0.3">
      <c r="G50" s="25">
        <v>47</v>
      </c>
      <c r="H50" s="26">
        <v>47</v>
      </c>
      <c r="I50" s="27">
        <v>53</v>
      </c>
      <c r="N50" s="25">
        <v>46</v>
      </c>
      <c r="O50" s="34">
        <v>66.5</v>
      </c>
      <c r="P50" s="27">
        <f t="shared" si="0"/>
        <v>33.5</v>
      </c>
    </row>
    <row r="51" spans="7:16" ht="15.75" thickBot="1" x14ac:dyDescent="0.3">
      <c r="G51" s="25">
        <v>48</v>
      </c>
      <c r="H51" s="26">
        <v>48</v>
      </c>
      <c r="I51" s="27">
        <v>52</v>
      </c>
      <c r="N51" s="25">
        <v>47</v>
      </c>
      <c r="O51" s="34">
        <v>68</v>
      </c>
      <c r="P51" s="27">
        <f t="shared" si="0"/>
        <v>32</v>
      </c>
    </row>
    <row r="52" spans="7:16" ht="15.75" thickBot="1" x14ac:dyDescent="0.3">
      <c r="G52" s="25">
        <v>49</v>
      </c>
      <c r="H52" s="26">
        <v>49</v>
      </c>
      <c r="I52" s="27">
        <v>51</v>
      </c>
      <c r="N52" s="25">
        <v>48</v>
      </c>
      <c r="O52" s="34">
        <v>69.5</v>
      </c>
      <c r="P52" s="27">
        <f t="shared" si="0"/>
        <v>30.5</v>
      </c>
    </row>
    <row r="53" spans="7:16" ht="15.75" thickBot="1" x14ac:dyDescent="0.3">
      <c r="G53" s="25">
        <v>50</v>
      </c>
      <c r="H53" s="26">
        <v>50</v>
      </c>
      <c r="I53" s="27">
        <v>50</v>
      </c>
      <c r="N53" s="25">
        <v>49</v>
      </c>
      <c r="O53" s="34">
        <v>71</v>
      </c>
      <c r="P53" s="27">
        <f t="shared" si="0"/>
        <v>29</v>
      </c>
    </row>
    <row r="54" spans="7:16" ht="15.75" thickBot="1" x14ac:dyDescent="0.3">
      <c r="G54" s="25">
        <v>51</v>
      </c>
      <c r="H54" s="26">
        <v>51</v>
      </c>
      <c r="I54" s="27">
        <v>49</v>
      </c>
      <c r="N54" s="25">
        <v>50</v>
      </c>
      <c r="O54" s="34">
        <v>72.5</v>
      </c>
      <c r="P54" s="27">
        <f t="shared" si="0"/>
        <v>27.5</v>
      </c>
    </row>
    <row r="55" spans="7:16" ht="15.75" thickBot="1" x14ac:dyDescent="0.3">
      <c r="G55" s="25">
        <v>52</v>
      </c>
      <c r="H55" s="26">
        <v>52</v>
      </c>
      <c r="I55" s="27">
        <v>48</v>
      </c>
      <c r="N55" s="25">
        <v>51</v>
      </c>
      <c r="O55" s="34">
        <v>74</v>
      </c>
      <c r="P55" s="27">
        <f t="shared" si="0"/>
        <v>26</v>
      </c>
    </row>
    <row r="56" spans="7:16" ht="15.75" thickBot="1" x14ac:dyDescent="0.3">
      <c r="G56" s="25">
        <v>53</v>
      </c>
      <c r="H56" s="26">
        <v>53</v>
      </c>
      <c r="I56" s="27">
        <v>47</v>
      </c>
      <c r="N56" s="25">
        <v>52</v>
      </c>
      <c r="O56" s="34">
        <v>75.5</v>
      </c>
      <c r="P56" s="27">
        <f t="shared" si="0"/>
        <v>24.5</v>
      </c>
    </row>
    <row r="57" spans="7:16" ht="15.75" thickBot="1" x14ac:dyDescent="0.3">
      <c r="G57" s="25">
        <v>54</v>
      </c>
      <c r="H57" s="26">
        <v>54</v>
      </c>
      <c r="I57" s="27">
        <v>46</v>
      </c>
      <c r="N57" s="25">
        <v>53</v>
      </c>
      <c r="O57" s="34">
        <v>77</v>
      </c>
      <c r="P57" s="27">
        <f t="shared" si="0"/>
        <v>23</v>
      </c>
    </row>
    <row r="58" spans="7:16" ht="15.75" thickBot="1" x14ac:dyDescent="0.3">
      <c r="G58" s="25">
        <v>55</v>
      </c>
      <c r="H58" s="26">
        <v>55</v>
      </c>
      <c r="I58" s="27">
        <v>45</v>
      </c>
      <c r="N58" s="25">
        <v>54</v>
      </c>
      <c r="O58" s="34">
        <v>78.5</v>
      </c>
      <c r="P58" s="27">
        <f t="shared" si="0"/>
        <v>21.5</v>
      </c>
    </row>
    <row r="59" spans="7:16" ht="15.75" thickBot="1" x14ac:dyDescent="0.3">
      <c r="G59" s="25">
        <v>56</v>
      </c>
      <c r="H59" s="26">
        <v>56</v>
      </c>
      <c r="I59" s="27">
        <v>44</v>
      </c>
      <c r="N59" s="25">
        <v>55</v>
      </c>
      <c r="O59" s="34">
        <v>80</v>
      </c>
      <c r="P59" s="27">
        <f t="shared" si="0"/>
        <v>20</v>
      </c>
    </row>
    <row r="60" spans="7:16" ht="15.75" thickBot="1" x14ac:dyDescent="0.3">
      <c r="G60" s="25">
        <v>57</v>
      </c>
      <c r="H60" s="26">
        <v>57</v>
      </c>
      <c r="I60" s="27">
        <v>43</v>
      </c>
      <c r="N60" s="25">
        <v>56</v>
      </c>
      <c r="O60" s="34">
        <v>81.5</v>
      </c>
      <c r="P60" s="27">
        <f t="shared" si="0"/>
        <v>18.5</v>
      </c>
    </row>
    <row r="61" spans="7:16" ht="15.75" thickBot="1" x14ac:dyDescent="0.3">
      <c r="G61" s="25">
        <v>58</v>
      </c>
      <c r="H61" s="26">
        <v>58</v>
      </c>
      <c r="I61" s="27">
        <v>42</v>
      </c>
      <c r="N61" s="25">
        <v>57</v>
      </c>
      <c r="O61" s="34">
        <v>83</v>
      </c>
      <c r="P61" s="27">
        <f t="shared" si="0"/>
        <v>17</v>
      </c>
    </row>
    <row r="62" spans="7:16" ht="15.75" thickBot="1" x14ac:dyDescent="0.3">
      <c r="G62" s="25">
        <v>59</v>
      </c>
      <c r="H62" s="26">
        <v>59</v>
      </c>
      <c r="I62" s="27">
        <v>41</v>
      </c>
      <c r="N62" s="25">
        <v>58</v>
      </c>
      <c r="O62" s="34">
        <v>84.5</v>
      </c>
      <c r="P62" s="27">
        <f t="shared" si="0"/>
        <v>15.5</v>
      </c>
    </row>
    <row r="63" spans="7:16" ht="15.75" thickBot="1" x14ac:dyDescent="0.3">
      <c r="G63" s="25">
        <v>60</v>
      </c>
      <c r="H63" s="26">
        <v>60</v>
      </c>
      <c r="I63" s="27">
        <v>40</v>
      </c>
      <c r="N63" s="25">
        <v>59</v>
      </c>
      <c r="O63" s="34">
        <v>85</v>
      </c>
      <c r="P63" s="46">
        <f t="shared" si="0"/>
        <v>14</v>
      </c>
    </row>
    <row r="64" spans="7:16" ht="15.75" thickBot="1" x14ac:dyDescent="0.3">
      <c r="G64" s="25">
        <v>61</v>
      </c>
      <c r="H64" s="26">
        <v>61</v>
      </c>
      <c r="I64" s="27">
        <v>39</v>
      </c>
      <c r="N64" s="25">
        <v>60</v>
      </c>
    </row>
    <row r="65" spans="7:15" ht="15.75" thickBot="1" x14ac:dyDescent="0.3">
      <c r="G65" s="25">
        <v>62</v>
      </c>
      <c r="H65" s="26">
        <v>62</v>
      </c>
      <c r="I65" s="27">
        <v>38</v>
      </c>
      <c r="N65" s="25">
        <v>61</v>
      </c>
      <c r="O65" s="53"/>
    </row>
    <row r="66" spans="7:15" ht="15.75" thickBot="1" x14ac:dyDescent="0.3">
      <c r="G66" s="25">
        <v>63</v>
      </c>
      <c r="H66" s="26">
        <v>63</v>
      </c>
      <c r="I66" s="27">
        <v>37</v>
      </c>
      <c r="N66" s="25">
        <v>62</v>
      </c>
      <c r="O66" s="53"/>
    </row>
    <row r="67" spans="7:15" ht="15.75" thickBot="1" x14ac:dyDescent="0.3">
      <c r="G67" s="25">
        <v>64</v>
      </c>
      <c r="H67" s="26">
        <v>64</v>
      </c>
      <c r="I67" s="27">
        <v>36</v>
      </c>
      <c r="N67" s="25">
        <v>63</v>
      </c>
      <c r="O67" s="53"/>
    </row>
    <row r="68" spans="7:15" ht="15.75" thickBot="1" x14ac:dyDescent="0.3">
      <c r="G68" s="25">
        <v>65</v>
      </c>
      <c r="H68" s="26">
        <v>65</v>
      </c>
      <c r="I68" s="27">
        <v>35</v>
      </c>
      <c r="N68" s="25">
        <v>64</v>
      </c>
      <c r="O68" s="53"/>
    </row>
    <row r="69" spans="7:15" ht="15.75" thickBot="1" x14ac:dyDescent="0.3">
      <c r="G69" s="25">
        <v>66</v>
      </c>
      <c r="H69" s="26">
        <v>66</v>
      </c>
      <c r="I69" s="27">
        <v>34</v>
      </c>
      <c r="N69" s="25">
        <v>65</v>
      </c>
      <c r="O69" s="53"/>
    </row>
    <row r="70" spans="7:15" ht="15.75" thickBot="1" x14ac:dyDescent="0.3">
      <c r="G70" s="25">
        <v>67</v>
      </c>
      <c r="H70" s="26">
        <v>67</v>
      </c>
      <c r="I70" s="27">
        <v>33</v>
      </c>
      <c r="N70" s="25">
        <v>66</v>
      </c>
      <c r="O70" s="53"/>
    </row>
    <row r="71" spans="7:15" ht="15.75" thickBot="1" x14ac:dyDescent="0.3">
      <c r="G71" s="25">
        <v>68</v>
      </c>
      <c r="H71" s="26">
        <v>68</v>
      </c>
      <c r="I71" s="27">
        <v>32</v>
      </c>
      <c r="N71" s="25">
        <v>67</v>
      </c>
      <c r="O71" s="53"/>
    </row>
    <row r="72" spans="7:15" ht="15.75" thickBot="1" x14ac:dyDescent="0.3">
      <c r="G72" s="25">
        <v>69</v>
      </c>
      <c r="H72" s="26">
        <v>69</v>
      </c>
      <c r="I72" s="27">
        <v>31</v>
      </c>
      <c r="N72" s="25">
        <v>68</v>
      </c>
      <c r="O72" s="53"/>
    </row>
    <row r="73" spans="7:15" ht="15.75" thickBot="1" x14ac:dyDescent="0.3">
      <c r="G73" s="25">
        <v>70</v>
      </c>
      <c r="H73" s="26">
        <v>70</v>
      </c>
      <c r="I73" s="46">
        <v>30</v>
      </c>
      <c r="N73" s="25">
        <v>69</v>
      </c>
      <c r="O73" s="53"/>
    </row>
    <row r="74" spans="7:15" ht="15.75" thickBot="1" x14ac:dyDescent="0.3">
      <c r="I74" s="55"/>
      <c r="N74" s="25">
        <v>70</v>
      </c>
      <c r="O74" s="53"/>
    </row>
    <row r="75" spans="7:15" ht="15.75" thickBot="1" x14ac:dyDescent="0.3">
      <c r="N75" s="25"/>
      <c r="O75" s="53"/>
    </row>
  </sheetData>
  <mergeCells count="2">
    <mergeCell ref="B2:F2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56FB5-3D00-4711-A9D1-78119C8A1AB2}">
  <dimension ref="A1:D11"/>
  <sheetViews>
    <sheetView workbookViewId="0">
      <selection activeCell="B3" sqref="B3"/>
    </sheetView>
  </sheetViews>
  <sheetFormatPr defaultRowHeight="15" x14ac:dyDescent="0.25"/>
  <cols>
    <col min="1" max="1" width="25.85546875" bestFit="1" customWidth="1"/>
    <col min="2" max="2" width="20.28515625" bestFit="1" customWidth="1"/>
    <col min="3" max="3" width="16.140625" bestFit="1" customWidth="1"/>
    <col min="4" max="4" width="18.140625" bestFit="1" customWidth="1"/>
  </cols>
  <sheetData>
    <row r="1" spans="1:4" ht="16.5" x14ac:dyDescent="0.25">
      <c r="A1" s="6" t="s">
        <v>2</v>
      </c>
      <c r="B1" s="6" t="s">
        <v>3</v>
      </c>
      <c r="C1" s="7" t="s">
        <v>5</v>
      </c>
      <c r="D1" s="7" t="s">
        <v>4</v>
      </c>
    </row>
    <row r="2" spans="1:4" ht="16.5" x14ac:dyDescent="0.3">
      <c r="A2" s="4">
        <v>30815.79</v>
      </c>
      <c r="B2" s="4">
        <v>118211.46</v>
      </c>
      <c r="C2" s="4">
        <f>ROUND(A2*B2,0)</f>
        <v>3642779527</v>
      </c>
      <c r="D2" s="5">
        <f>C2/10^7</f>
        <v>364.27795270000001</v>
      </c>
    </row>
    <row r="4" spans="1:4" x14ac:dyDescent="0.25">
      <c r="A4" s="13" t="s">
        <v>8</v>
      </c>
      <c r="B4" s="13"/>
    </row>
    <row r="5" spans="1:4" x14ac:dyDescent="0.25">
      <c r="A5" s="13" t="s">
        <v>9</v>
      </c>
      <c r="B5" s="14">
        <v>22826.51</v>
      </c>
    </row>
    <row r="6" spans="1:4" x14ac:dyDescent="0.25">
      <c r="A6" s="13" t="s">
        <v>10</v>
      </c>
      <c r="B6" s="14">
        <f>B5*35%</f>
        <v>7989.2784999999985</v>
      </c>
    </row>
    <row r="7" spans="1:4" x14ac:dyDescent="0.25">
      <c r="A7" s="13" t="s">
        <v>11</v>
      </c>
      <c r="B7" s="14">
        <f>B5+B6</f>
        <v>30815.788499999995</v>
      </c>
    </row>
    <row r="8" spans="1:4" x14ac:dyDescent="0.25">
      <c r="A8" s="13" t="s">
        <v>12</v>
      </c>
      <c r="B8" s="14">
        <f>B2</f>
        <v>118211.46</v>
      </c>
    </row>
    <row r="9" spans="1:4" x14ac:dyDescent="0.25">
      <c r="A9" s="13" t="s">
        <v>13</v>
      </c>
      <c r="B9" s="14">
        <f>B8*0.5</f>
        <v>59105.73</v>
      </c>
    </row>
    <row r="10" spans="1:4" x14ac:dyDescent="0.25">
      <c r="A10" s="13" t="s">
        <v>14</v>
      </c>
      <c r="B10" s="14">
        <f>ROUND(B9*B6,0)</f>
        <v>472212138</v>
      </c>
    </row>
    <row r="11" spans="1:4" x14ac:dyDescent="0.25">
      <c r="A11" s="13" t="s">
        <v>21</v>
      </c>
      <c r="B11" s="14">
        <f>B10/10^7</f>
        <v>47.221213800000001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F365-B471-427D-8CBC-05A538AB41D5}">
  <dimension ref="A1:D19"/>
  <sheetViews>
    <sheetView workbookViewId="0">
      <selection activeCell="B6" sqref="B6"/>
    </sheetView>
  </sheetViews>
  <sheetFormatPr defaultRowHeight="15" x14ac:dyDescent="0.25"/>
  <cols>
    <col min="1" max="1" width="25.85546875" bestFit="1" customWidth="1"/>
    <col min="2" max="2" width="20.28515625" bestFit="1" customWidth="1"/>
    <col min="3" max="3" width="17.28515625" bestFit="1" customWidth="1"/>
    <col min="4" max="4" width="18.140625" bestFit="1" customWidth="1"/>
  </cols>
  <sheetData>
    <row r="1" spans="1:4" ht="16.5" x14ac:dyDescent="0.25">
      <c r="A1" s="6" t="s">
        <v>2</v>
      </c>
      <c r="B1" s="6" t="s">
        <v>3</v>
      </c>
      <c r="C1" s="7" t="s">
        <v>5</v>
      </c>
      <c r="D1" s="7" t="s">
        <v>4</v>
      </c>
    </row>
    <row r="2" spans="1:4" ht="16.5" x14ac:dyDescent="0.3">
      <c r="A2" s="4">
        <v>254848.6</v>
      </c>
      <c r="B2" s="4">
        <v>110550.06</v>
      </c>
      <c r="C2" s="4">
        <f>ROUND(A2*B2,0)</f>
        <v>28173528021</v>
      </c>
      <c r="D2" s="5">
        <f>C2/10^7</f>
        <v>2817.3528021000002</v>
      </c>
    </row>
    <row r="4" spans="1:4" x14ac:dyDescent="0.25">
      <c r="A4" s="13" t="s">
        <v>8</v>
      </c>
      <c r="B4" s="13"/>
    </row>
    <row r="5" spans="1:4" x14ac:dyDescent="0.25">
      <c r="A5" s="13" t="s">
        <v>9</v>
      </c>
      <c r="B5" s="14">
        <v>188776.74</v>
      </c>
    </row>
    <row r="6" spans="1:4" x14ac:dyDescent="0.25">
      <c r="A6" s="13" t="s">
        <v>10</v>
      </c>
      <c r="B6" s="14">
        <f>B5*35%</f>
        <v>66071.858999999997</v>
      </c>
    </row>
    <row r="7" spans="1:4" x14ac:dyDescent="0.25">
      <c r="A7" s="13" t="s">
        <v>11</v>
      </c>
      <c r="B7" s="14">
        <f>B5+B6</f>
        <v>254848.59899999999</v>
      </c>
    </row>
    <row r="8" spans="1:4" x14ac:dyDescent="0.25">
      <c r="A8" s="13" t="s">
        <v>12</v>
      </c>
      <c r="B8" s="14">
        <f>B2</f>
        <v>110550.06</v>
      </c>
    </row>
    <row r="9" spans="1:4" x14ac:dyDescent="0.25">
      <c r="A9" s="13" t="s">
        <v>13</v>
      </c>
      <c r="B9" s="14">
        <f>B8*0.5</f>
        <v>55275.03</v>
      </c>
    </row>
    <row r="10" spans="1:4" x14ac:dyDescent="0.25">
      <c r="A10" s="13" t="s">
        <v>20</v>
      </c>
      <c r="B10" s="14">
        <f>ROUND(B9*B6,0)</f>
        <v>3652123988</v>
      </c>
    </row>
    <row r="11" spans="1:4" x14ac:dyDescent="0.25">
      <c r="A11" s="13" t="s">
        <v>21</v>
      </c>
      <c r="B11" s="14">
        <f>B10/10^7</f>
        <v>365.21239880000002</v>
      </c>
    </row>
    <row r="19" spans="2:2" x14ac:dyDescent="0.25">
      <c r="B19" t="s">
        <v>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B935-736B-4F50-A823-382A02BF972B}">
  <dimension ref="A1:D17"/>
  <sheetViews>
    <sheetView workbookViewId="0">
      <selection activeCell="E9" sqref="E9"/>
    </sheetView>
  </sheetViews>
  <sheetFormatPr defaultColWidth="19.7109375" defaultRowHeight="16.5" x14ac:dyDescent="0.3"/>
  <cols>
    <col min="1" max="1" width="25.85546875" style="2" bestFit="1" customWidth="1"/>
    <col min="2" max="2" width="20.28515625" style="2" bestFit="1" customWidth="1"/>
    <col min="3" max="3" width="17.28515625" style="3" bestFit="1" customWidth="1"/>
    <col min="4" max="4" width="18.140625" style="3" bestFit="1" customWidth="1"/>
    <col min="5" max="16384" width="19.7109375" style="3"/>
  </cols>
  <sheetData>
    <row r="1" spans="1:4" s="8" customFormat="1" x14ac:dyDescent="0.25">
      <c r="A1" s="6" t="s">
        <v>2</v>
      </c>
      <c r="B1" s="6" t="s">
        <v>3</v>
      </c>
      <c r="C1" s="7" t="s">
        <v>5</v>
      </c>
      <c r="D1" s="7" t="s">
        <v>4</v>
      </c>
    </row>
    <row r="2" spans="1:4" x14ac:dyDescent="0.3">
      <c r="A2" s="4">
        <v>179231.71</v>
      </c>
      <c r="B2" s="4">
        <v>110131.24</v>
      </c>
      <c r="C2" s="4">
        <f>ROUND(A2*B2,0)</f>
        <v>19739010470</v>
      </c>
      <c r="D2" s="5">
        <f>C2/10^7</f>
        <v>1973.9010470000001</v>
      </c>
    </row>
    <row r="4" spans="1:4" x14ac:dyDescent="0.3">
      <c r="A4" s="13" t="s">
        <v>8</v>
      </c>
      <c r="B4" s="13"/>
    </row>
    <row r="5" spans="1:4" x14ac:dyDescent="0.3">
      <c r="A5" s="13" t="s">
        <v>9</v>
      </c>
      <c r="B5" s="14">
        <v>132764.23000000001</v>
      </c>
    </row>
    <row r="6" spans="1:4" x14ac:dyDescent="0.3">
      <c r="A6" s="13" t="s">
        <v>10</v>
      </c>
      <c r="B6" s="14">
        <f>B5*0.35</f>
        <v>46467.480499999998</v>
      </c>
    </row>
    <row r="7" spans="1:4" x14ac:dyDescent="0.3">
      <c r="A7" s="13" t="s">
        <v>11</v>
      </c>
      <c r="B7" s="14">
        <f>B5+B6</f>
        <v>179231.71050000002</v>
      </c>
    </row>
    <row r="8" spans="1:4" x14ac:dyDescent="0.3">
      <c r="A8" s="13" t="s">
        <v>12</v>
      </c>
      <c r="B8" s="14">
        <f>B2</f>
        <v>110131.24</v>
      </c>
    </row>
    <row r="9" spans="1:4" x14ac:dyDescent="0.3">
      <c r="A9" s="13" t="s">
        <v>13</v>
      </c>
      <c r="B9" s="14">
        <f>B8/2</f>
        <v>55065.62</v>
      </c>
    </row>
    <row r="10" spans="1:4" x14ac:dyDescent="0.3">
      <c r="A10" s="13" t="s">
        <v>14</v>
      </c>
      <c r="B10" s="14">
        <f>ROUND(B9*B6,0)</f>
        <v>2558760624</v>
      </c>
    </row>
    <row r="11" spans="1:4" x14ac:dyDescent="0.3">
      <c r="A11" s="13" t="s">
        <v>21</v>
      </c>
      <c r="B11" s="14">
        <f>B10/10^7</f>
        <v>255.8760624</v>
      </c>
    </row>
    <row r="14" spans="1:4" x14ac:dyDescent="0.3">
      <c r="B14" s="2">
        <f>110131.78/2</f>
        <v>55065.89</v>
      </c>
    </row>
    <row r="16" spans="1:4" x14ac:dyDescent="0.3">
      <c r="B16" s="2">
        <f>B14*B6</f>
        <v>2558773169.7901449</v>
      </c>
    </row>
    <row r="17" spans="2:2" x14ac:dyDescent="0.3">
      <c r="B17" s="2">
        <f>B16/10^7</f>
        <v>255.87731697901449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B20" sqref="B20"/>
    </sheetView>
  </sheetViews>
  <sheetFormatPr defaultRowHeight="15" x14ac:dyDescent="0.25"/>
  <cols>
    <col min="1" max="1" width="25.85546875" bestFit="1" customWidth="1"/>
    <col min="2" max="2" width="20.28515625" bestFit="1" customWidth="1"/>
    <col min="3" max="3" width="16.140625" bestFit="1" customWidth="1"/>
    <col min="4" max="4" width="18.140625" bestFit="1" customWidth="1"/>
  </cols>
  <sheetData>
    <row r="1" spans="1:4" ht="16.5" x14ac:dyDescent="0.25">
      <c r="A1" s="6" t="s">
        <v>2</v>
      </c>
      <c r="B1" s="6" t="s">
        <v>3</v>
      </c>
      <c r="C1" s="7" t="s">
        <v>5</v>
      </c>
      <c r="D1" s="7" t="s">
        <v>4</v>
      </c>
    </row>
    <row r="2" spans="1:4" ht="16.5" x14ac:dyDescent="0.3">
      <c r="A2" s="4">
        <v>33871.74</v>
      </c>
      <c r="B2" s="4">
        <v>53760</v>
      </c>
      <c r="C2" s="4">
        <f>ROUND(A2*B2,0)</f>
        <v>1820944742</v>
      </c>
      <c r="D2" s="5">
        <f>C2/10^7</f>
        <v>182.09447420000001</v>
      </c>
    </row>
    <row r="4" spans="1:4" x14ac:dyDescent="0.25">
      <c r="A4" s="13" t="s">
        <v>8</v>
      </c>
      <c r="B4" s="13"/>
    </row>
    <row r="5" spans="1:4" x14ac:dyDescent="0.25">
      <c r="A5" s="13" t="s">
        <v>9</v>
      </c>
      <c r="B5" s="14">
        <v>25090.18</v>
      </c>
    </row>
    <row r="6" spans="1:4" x14ac:dyDescent="0.25">
      <c r="A6" s="13" t="s">
        <v>10</v>
      </c>
      <c r="B6" s="14">
        <f>B5*35%</f>
        <v>8781.5630000000001</v>
      </c>
    </row>
    <row r="7" spans="1:4" x14ac:dyDescent="0.25">
      <c r="A7" s="13" t="s">
        <v>11</v>
      </c>
      <c r="B7" s="14">
        <f>B5+B6</f>
        <v>33871.743000000002</v>
      </c>
    </row>
    <row r="8" spans="1:4" x14ac:dyDescent="0.25">
      <c r="A8" s="13" t="s">
        <v>12</v>
      </c>
      <c r="B8" s="14">
        <f>B2</f>
        <v>53760</v>
      </c>
    </row>
    <row r="9" spans="1:4" x14ac:dyDescent="0.25">
      <c r="A9" s="13" t="s">
        <v>13</v>
      </c>
      <c r="B9" s="14">
        <f>B8*0.5</f>
        <v>26880</v>
      </c>
    </row>
    <row r="10" spans="1:4" x14ac:dyDescent="0.25">
      <c r="A10" s="13" t="s">
        <v>14</v>
      </c>
      <c r="B10" s="14">
        <f>ROUND(B9*B6,0)</f>
        <v>236048413</v>
      </c>
    </row>
    <row r="11" spans="1:4" x14ac:dyDescent="0.25">
      <c r="A11" s="13" t="s">
        <v>21</v>
      </c>
      <c r="B11" s="14">
        <f>B10/10^7</f>
        <v>23.6048413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Arcade FMV</vt:lpstr>
      <vt:lpstr>Arcade RR</vt:lpstr>
      <vt:lpstr>Bay View</vt:lpstr>
      <vt:lpstr>Estate</vt:lpstr>
      <vt:lpstr>Garden</vt:lpstr>
      <vt:lpstr>Heritage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cp:lastPrinted>2024-03-17T06:25:27Z</cp:lastPrinted>
  <dcterms:created xsi:type="dcterms:W3CDTF">2015-06-05T18:17:20Z</dcterms:created>
  <dcterms:modified xsi:type="dcterms:W3CDTF">2024-03-20T07:18:11Z</dcterms:modified>
</cp:coreProperties>
</file>