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8E31F8D1-EEB9-473A-8993-2AB072ADD30A}" xr6:coauthVersionLast="36" xr6:coauthVersionMax="47" xr10:uidLastSave="{00000000-0000-0000-0000-000000000000}"/>
  <bookViews>
    <workbookView xWindow="0" yWindow="0" windowWidth="28800" windowHeight="12105" firstSheet="1" activeTab="12" xr2:uid="{00000000-000D-0000-FFFF-FFFF00000000}"/>
  </bookViews>
  <sheets>
    <sheet name="101 MM" sheetId="4" r:id="rId1"/>
    <sheet name="102 MM" sheetId="8" r:id="rId2"/>
    <sheet name="301 MM" sheetId="9" r:id="rId3"/>
    <sheet name="302 MM" sheetId="10" r:id="rId4"/>
    <sheet name="701 MM" sheetId="11" r:id="rId5"/>
    <sheet name="702MM" sheetId="14" r:id="rId6"/>
    <sheet name="701-702 Plantina" sheetId="15" r:id="rId7"/>
    <sheet name="Sheet1" sheetId="16" r:id="rId8"/>
    <sheet name="2001-rate" sheetId="5" r:id="rId9"/>
    <sheet name="2002-Rate" sheetId="12" r:id="rId10"/>
    <sheet name="2024-RR" sheetId="6" r:id="rId11"/>
    <sheet name="Cost Index" sheetId="13" r:id="rId12"/>
    <sheet name="Summary" sheetId="7" r:id="rId13"/>
    <sheet name="Measurement  - 701" sheetId="17" r:id="rId14"/>
  </sheets>
  <calcPr calcId="191029"/>
</workbook>
</file>

<file path=xl/calcChain.xml><?xml version="1.0" encoding="utf-8"?>
<calcChain xmlns="http://schemas.openxmlformats.org/spreadsheetml/2006/main">
  <c r="L9" i="17" l="1"/>
  <c r="K9" i="17"/>
  <c r="G9" i="17"/>
  <c r="F8" i="17"/>
  <c r="F9" i="17"/>
  <c r="G28" i="15" l="1"/>
  <c r="D25" i="15" s="1"/>
  <c r="E26" i="15"/>
  <c r="E25" i="15"/>
  <c r="I22" i="15"/>
  <c r="H23" i="15"/>
  <c r="H22" i="15"/>
  <c r="C26" i="15"/>
  <c r="C25" i="15"/>
  <c r="I19" i="15"/>
  <c r="H20" i="15"/>
  <c r="H19" i="15"/>
  <c r="E24" i="15"/>
  <c r="C24" i="15"/>
  <c r="I8" i="15"/>
  <c r="F19" i="15"/>
  <c r="D19" i="15"/>
  <c r="E19" i="15"/>
  <c r="C19" i="15"/>
  <c r="I7" i="15"/>
  <c r="F10" i="15"/>
  <c r="F12" i="15" s="1"/>
  <c r="F17" i="15" s="1"/>
  <c r="E10" i="15"/>
  <c r="E12" i="15" s="1"/>
  <c r="E17" i="15" s="1"/>
  <c r="D10" i="15"/>
  <c r="D12" i="15" s="1"/>
  <c r="D17" i="15" s="1"/>
  <c r="F33" i="15"/>
  <c r="F25" i="15"/>
  <c r="F14" i="15"/>
  <c r="F6" i="15"/>
  <c r="E33" i="15"/>
  <c r="E14" i="15"/>
  <c r="E6" i="15"/>
  <c r="E15" i="15" s="1"/>
  <c r="V34" i="15"/>
  <c r="D33" i="15"/>
  <c r="D14" i="15"/>
  <c r="C14" i="15"/>
  <c r="C12" i="15"/>
  <c r="C17" i="15" s="1"/>
  <c r="D6" i="15"/>
  <c r="D15" i="15" s="1"/>
  <c r="C6" i="15"/>
  <c r="C15" i="15" s="1"/>
  <c r="C21" i="15" l="1"/>
  <c r="C23" i="15" s="1"/>
  <c r="F15" i="15"/>
  <c r="L32" i="7"/>
  <c r="L29" i="7"/>
  <c r="L26" i="7"/>
  <c r="D21" i="15" l="1"/>
  <c r="D23" i="15" s="1"/>
  <c r="D28" i="15" s="1"/>
  <c r="C19" i="11"/>
  <c r="C21" i="11" s="1"/>
  <c r="C19" i="14"/>
  <c r="U34" i="14"/>
  <c r="C26" i="14"/>
  <c r="C15" i="14"/>
  <c r="C14" i="14"/>
  <c r="H8" i="14"/>
  <c r="C8" i="14"/>
  <c r="C12" i="14" s="1"/>
  <c r="C17" i="14" s="1"/>
  <c r="C6" i="14"/>
  <c r="D6" i="14" s="1"/>
  <c r="F3" i="14"/>
  <c r="G3" i="14" s="1"/>
  <c r="U34" i="4"/>
  <c r="C26" i="4"/>
  <c r="C19" i="4"/>
  <c r="C15" i="4"/>
  <c r="C14" i="4"/>
  <c r="C8" i="4"/>
  <c r="C12" i="4" s="1"/>
  <c r="C17" i="4" s="1"/>
  <c r="D6" i="4"/>
  <c r="C6" i="4"/>
  <c r="F3" i="4"/>
  <c r="G3" i="4" s="1"/>
  <c r="H8" i="11"/>
  <c r="U34" i="11"/>
  <c r="C26" i="11"/>
  <c r="C14" i="11"/>
  <c r="C15" i="11" s="1"/>
  <c r="C8" i="11"/>
  <c r="C12" i="11" s="1"/>
  <c r="C17" i="11" s="1"/>
  <c r="C6" i="11"/>
  <c r="D6" i="11" s="1"/>
  <c r="F3" i="11"/>
  <c r="G3" i="11" s="1"/>
  <c r="E21" i="15" l="1"/>
  <c r="E23" i="15" s="1"/>
  <c r="E28" i="15" s="1"/>
  <c r="F21" i="15"/>
  <c r="F23" i="15" s="1"/>
  <c r="F28" i="15" s="1"/>
  <c r="C28" i="15" s="1"/>
  <c r="C23" i="11"/>
  <c r="C21" i="14"/>
  <c r="C23" i="14" s="1"/>
  <c r="F23" i="14" s="1"/>
  <c r="F24" i="14" s="1"/>
  <c r="C21" i="4"/>
  <c r="C23" i="4" s="1"/>
  <c r="F23" i="11"/>
  <c r="F24" i="11" s="1"/>
  <c r="E23" i="11"/>
  <c r="E25" i="11" s="1"/>
  <c r="E26" i="11" s="1"/>
  <c r="E28" i="11" s="1"/>
  <c r="C25" i="11" s="1"/>
  <c r="C28" i="11" s="1"/>
  <c r="K8" i="7" s="1"/>
  <c r="K7" i="7"/>
  <c r="K6" i="7"/>
  <c r="K5" i="7"/>
  <c r="I29" i="7"/>
  <c r="F29" i="7" s="1"/>
  <c r="I26" i="7"/>
  <c r="I32" i="7" s="1"/>
  <c r="H26" i="7"/>
  <c r="H32" i="7" s="1"/>
  <c r="I22" i="7"/>
  <c r="I19" i="7"/>
  <c r="J19" i="7" s="1"/>
  <c r="H19" i="7"/>
  <c r="H25" i="7" s="1"/>
  <c r="I16" i="7"/>
  <c r="I13" i="7"/>
  <c r="J13" i="7" s="1"/>
  <c r="H13" i="7"/>
  <c r="H18" i="7" s="1"/>
  <c r="H9" i="7"/>
  <c r="H8" i="7"/>
  <c r="H7" i="7"/>
  <c r="H6" i="7"/>
  <c r="H5" i="7"/>
  <c r="H4" i="7"/>
  <c r="C37" i="15" l="1"/>
  <c r="G37" i="15" s="1"/>
  <c r="G40" i="15" s="1"/>
  <c r="E23" i="14"/>
  <c r="E25" i="14" s="1"/>
  <c r="E26" i="14" s="1"/>
  <c r="E28" i="14" s="1"/>
  <c r="C25" i="14" s="1"/>
  <c r="C28" i="14" s="1"/>
  <c r="C37" i="14" s="1"/>
  <c r="F37" i="14" s="1"/>
  <c r="F40" i="14" s="1"/>
  <c r="F23" i="4"/>
  <c r="F24" i="4" s="1"/>
  <c r="E23" i="4"/>
  <c r="E25" i="4" s="1"/>
  <c r="E26" i="4" s="1"/>
  <c r="E28" i="4" s="1"/>
  <c r="C25" i="4" s="1"/>
  <c r="C28" i="4" s="1"/>
  <c r="C32" i="11"/>
  <c r="C33" i="11" s="1"/>
  <c r="C37" i="11"/>
  <c r="F37" i="11" s="1"/>
  <c r="F40" i="11" s="1"/>
  <c r="I25" i="7"/>
  <c r="I18" i="7"/>
  <c r="J16" i="7"/>
  <c r="J22" i="7"/>
  <c r="J29" i="7"/>
  <c r="J26" i="7"/>
  <c r="F16" i="7"/>
  <c r="F22" i="7"/>
  <c r="C32" i="14" l="1"/>
  <c r="C33" i="14" s="1"/>
  <c r="K9" i="7"/>
  <c r="C32" i="4"/>
  <c r="C33" i="4" s="1"/>
  <c r="C37" i="4"/>
  <c r="F37" i="4" s="1"/>
  <c r="F40" i="4" s="1"/>
  <c r="C28" i="8"/>
  <c r="D21" i="8"/>
  <c r="I8" i="8"/>
  <c r="D19" i="8"/>
  <c r="D25" i="8"/>
  <c r="D14" i="8"/>
  <c r="D15" i="8" s="1"/>
  <c r="D12" i="8"/>
  <c r="D17" i="8" s="1"/>
  <c r="D6" i="8"/>
  <c r="D23" i="8" l="1"/>
  <c r="C24" i="8" s="1"/>
  <c r="F23" i="8" s="1"/>
  <c r="D28" i="8"/>
  <c r="D33" i="8" s="1"/>
  <c r="U34" i="10"/>
  <c r="C26" i="10"/>
  <c r="C19" i="10"/>
  <c r="C21" i="10" s="1"/>
  <c r="C15" i="10"/>
  <c r="C14" i="10"/>
  <c r="C8" i="10"/>
  <c r="C12" i="10" s="1"/>
  <c r="C17" i="10" s="1"/>
  <c r="D6" i="10"/>
  <c r="C6" i="10"/>
  <c r="F3" i="10"/>
  <c r="G3" i="10" s="1"/>
  <c r="U34" i="9"/>
  <c r="C26" i="9"/>
  <c r="C19" i="9"/>
  <c r="C21" i="9" s="1"/>
  <c r="C15" i="9"/>
  <c r="C14" i="9"/>
  <c r="C8" i="9"/>
  <c r="C12" i="9" s="1"/>
  <c r="C17" i="9" s="1"/>
  <c r="D6" i="9"/>
  <c r="C6" i="9"/>
  <c r="F3" i="9"/>
  <c r="G3" i="9" s="1"/>
  <c r="V34" i="8"/>
  <c r="C26" i="8"/>
  <c r="C19" i="8"/>
  <c r="C15" i="8"/>
  <c r="C14" i="8"/>
  <c r="C8" i="8"/>
  <c r="C12" i="8" s="1"/>
  <c r="C17" i="8" s="1"/>
  <c r="E6" i="8"/>
  <c r="C6" i="8"/>
  <c r="G3" i="8"/>
  <c r="H3" i="8" s="1"/>
  <c r="C23" i="10" l="1"/>
  <c r="C23" i="9"/>
  <c r="C21" i="8"/>
  <c r="C23" i="8" s="1"/>
  <c r="F23" i="10" l="1"/>
  <c r="F24" i="10" s="1"/>
  <c r="E23" i="10"/>
  <c r="E25" i="10" s="1"/>
  <c r="E26" i="10" s="1"/>
  <c r="E28" i="10" s="1"/>
  <c r="C25" i="10" s="1"/>
  <c r="C28" i="10" s="1"/>
  <c r="F23" i="9"/>
  <c r="F24" i="9" s="1"/>
  <c r="E23" i="9"/>
  <c r="E25" i="9" s="1"/>
  <c r="E26" i="9" s="1"/>
  <c r="E28" i="9" s="1"/>
  <c r="C25" i="9" s="1"/>
  <c r="C28" i="9" s="1"/>
  <c r="G23" i="8"/>
  <c r="G24" i="8" s="1"/>
  <c r="F25" i="8"/>
  <c r="F26" i="8" s="1"/>
  <c r="F28" i="8" s="1"/>
  <c r="C25" i="8" s="1"/>
  <c r="C32" i="10" l="1"/>
  <c r="C33" i="10" s="1"/>
  <c r="C37" i="10"/>
  <c r="F37" i="10" s="1"/>
  <c r="F40" i="10" s="1"/>
  <c r="C32" i="9"/>
  <c r="C33" i="9" s="1"/>
  <c r="C37" i="9"/>
  <c r="F37" i="9" s="1"/>
  <c r="F40" i="9" s="1"/>
  <c r="C32" i="8"/>
  <c r="C33" i="8" s="1"/>
  <c r="C37" i="8"/>
  <c r="G37" i="8" s="1"/>
  <c r="G40" i="8" s="1"/>
  <c r="K4" i="7" l="1"/>
</calcChain>
</file>

<file path=xl/sharedStrings.xml><?xml version="1.0" encoding="utf-8"?>
<sst xmlns="http://schemas.openxmlformats.org/spreadsheetml/2006/main" count="440" uniqueCount="122">
  <si>
    <t>Year of Construction</t>
  </si>
  <si>
    <t>Age of Building</t>
  </si>
  <si>
    <t>Depreciation</t>
  </si>
  <si>
    <t>Amount of Depreciation</t>
  </si>
  <si>
    <t>Stamp Duty</t>
  </si>
  <si>
    <t>Registration Charges</t>
  </si>
  <si>
    <t xml:space="preserve"> Cost of Acquisition</t>
  </si>
  <si>
    <t>Depreciated Cost of Interior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</si>
  <si>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</si>
  <si>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</si>
  <si>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</si>
  <si>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</si>
  <si>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</si>
  <si>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</si>
  <si>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</si>
  <si>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</si>
  <si>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</si>
  <si>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</si>
  <si>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</si>
  <si>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</si>
  <si>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</si>
  <si>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</si>
  <si>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</si>
  <si>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</si>
  <si>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</si>
  <si>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</si>
  <si>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</si>
  <si>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</si>
  <si>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</si>
  <si>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>maximum</t>
  </si>
  <si>
    <t xml:space="preserve">4. Registration charges 1% or Maximum 20000/- </t>
  </si>
  <si>
    <t>bua</t>
  </si>
  <si>
    <t>Index Cost - 2001</t>
  </si>
  <si>
    <t>Index Cost - 2023</t>
  </si>
  <si>
    <t>ca - report</t>
  </si>
  <si>
    <t>above 10 lakhs</t>
  </si>
  <si>
    <t>stamp duty - 8%</t>
  </si>
  <si>
    <t xml:space="preserve">{(100-10) x17}/70.00 </t>
  </si>
  <si>
    <t>Depreciated Value</t>
  </si>
  <si>
    <t>OC</t>
  </si>
  <si>
    <t>Particulars</t>
  </si>
  <si>
    <t>Year</t>
  </si>
  <si>
    <t>Amount</t>
  </si>
  <si>
    <t>Cost Inflation Index Year</t>
  </si>
  <si>
    <t>Present Cost Inflation Index Year</t>
  </si>
  <si>
    <t>Total Cost of Acquisition</t>
  </si>
  <si>
    <t>11.10.2019</t>
  </si>
  <si>
    <t>Mr. Kashyap Shah</t>
  </si>
  <si>
    <t xml:space="preserve">Garge No 4 </t>
  </si>
  <si>
    <t>Garage No. 4</t>
  </si>
  <si>
    <t>Garage - 25%</t>
  </si>
  <si>
    <t>Total Depreciated Value</t>
  </si>
  <si>
    <t>-</t>
  </si>
  <si>
    <t>Property belongs to Mr. Kashyap Shah &amp; Smita Shah</t>
  </si>
  <si>
    <t>Sr. No.</t>
  </si>
  <si>
    <t>Agreement Date</t>
  </si>
  <si>
    <t>Owner</t>
  </si>
  <si>
    <t xml:space="preserve">Old Property  - Mangal Milan Building </t>
  </si>
  <si>
    <t>Carpet area (Sq. Ft.)</t>
  </si>
  <si>
    <t>Built up area (Sq. Ft.)</t>
  </si>
  <si>
    <t>Built up area (Sq. M.)</t>
  </si>
  <si>
    <t>Agreement Value</t>
  </si>
  <si>
    <t>Capital Gain  - 2001</t>
  </si>
  <si>
    <t>Cost Indx</t>
  </si>
  <si>
    <t>02.07.1981</t>
  </si>
  <si>
    <t>Smita Kashyap Shah</t>
  </si>
  <si>
    <t>Flat No. 101</t>
  </si>
  <si>
    <t>19.11.1987</t>
  </si>
  <si>
    <t>Kashyap Lalbhai Shah &amp; Smita Shsh</t>
  </si>
  <si>
    <t>Flat No. 102</t>
  </si>
  <si>
    <t>Kashyap Lalbhai Shah</t>
  </si>
  <si>
    <t>28.07.1994</t>
  </si>
  <si>
    <t>Lalbhai Vadilal Dalal HUF</t>
  </si>
  <si>
    <t>Flat No. 301</t>
  </si>
  <si>
    <t>Flat No. 302</t>
  </si>
  <si>
    <t>02.05.2002</t>
  </si>
  <si>
    <t>Ankur Kashyap Shah</t>
  </si>
  <si>
    <t>Flat No. 701</t>
  </si>
  <si>
    <t>08.05.2022</t>
  </si>
  <si>
    <t>M/s. Kashmita Corporation</t>
  </si>
  <si>
    <t>Flat No. 702</t>
  </si>
  <si>
    <t xml:space="preserve">SR. No. </t>
  </si>
  <si>
    <t xml:space="preserve">Redeveloped Property - Platina Building </t>
  </si>
  <si>
    <t>Additional area (Sq. Ft.)</t>
  </si>
  <si>
    <t>Total Carpet area (Sq. Ft.)</t>
  </si>
  <si>
    <t>Flat No. 101 on new building against Flat No. 101&amp; 102 - Possession as on 21.02.2024</t>
  </si>
  <si>
    <t>Stilt car parking No. S1</t>
  </si>
  <si>
    <t>Podium Parking No. P3</t>
  </si>
  <si>
    <t>Stilt car parking No. S2</t>
  </si>
  <si>
    <t>TOTAL</t>
  </si>
  <si>
    <t>Flat No. 301 on new building against Flat No. 301&amp; 302</t>
  </si>
  <si>
    <t xml:space="preserve">Lalbhai Vadilal Dalal HUF &amp; </t>
  </si>
  <si>
    <t>Stilt Car parking - S3</t>
  </si>
  <si>
    <t>Kashyap Lalbhai Shah HUF</t>
  </si>
  <si>
    <t>Stilt car parking - S4</t>
  </si>
  <si>
    <t>Podium Parking -P 202</t>
  </si>
  <si>
    <t>Flat No. 701 on new building against Flat No. 701&amp; 702</t>
  </si>
  <si>
    <t>Stilt Car parking - S23</t>
  </si>
  <si>
    <t>Podium Parking - P201</t>
  </si>
  <si>
    <t>Stilt car parking - S24</t>
  </si>
  <si>
    <t>Flat No. 102 &amp; Garage No. 4</t>
  </si>
  <si>
    <t>https://www.google.com/maps/search/platina,+ssantacruz+west/@19.0758418,72.8360804,232m/data=!3m1!1e3?entry=ttu</t>
  </si>
  <si>
    <t>7th Floor</t>
  </si>
  <si>
    <t>RR 2002</t>
  </si>
  <si>
    <t>26/162</t>
  </si>
  <si>
    <t>Index Cost - 2002</t>
  </si>
  <si>
    <t>Govt. Rate - 2023-24</t>
  </si>
  <si>
    <t>Govt. Value - 2023 -24</t>
  </si>
  <si>
    <t>Car parking</t>
  </si>
  <si>
    <t>RR - 2024</t>
  </si>
  <si>
    <t>flat on 7th floor</t>
  </si>
  <si>
    <t>Stamp Duty - 5%</t>
  </si>
  <si>
    <t>Reg. Fees - 1% (Max. 30000/-)</t>
  </si>
  <si>
    <t>2 Nos. Car parking</t>
  </si>
  <si>
    <t>1 No. car parking</t>
  </si>
  <si>
    <t>Flat No.701</t>
  </si>
  <si>
    <t xml:space="preserve">car parking space No. </t>
  </si>
  <si>
    <t>S23, P 201, S24</t>
  </si>
  <si>
    <t>Mofa ca</t>
  </si>
  <si>
    <t>bua - index</t>
  </si>
  <si>
    <t>mca - 701/702</t>
  </si>
  <si>
    <t>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</si>
</sst>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11"/>
      <color rgb="FF000000"/>
      <name val="Arial Narrow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rgb="FF202124"/>
      <name val="Arial"/>
      <family val="2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109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1" fillId="2" borderId="0" xfId="0" applyFont="1" applyFill="1"/>
    <xf numFmtId="0" fontId="0" fillId="9" borderId="0" xfId="0" applyFill="1"/>
    <xf numFmtId="43" fontId="0" fillId="9" borderId="0" xfId="0" applyNumberFormat="1" applyFill="1"/>
    <xf numFmtId="43" fontId="0" fillId="9" borderId="0" xfId="1" applyFont="1" applyFill="1"/>
    <xf numFmtId="0" fontId="2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0" fillId="5" borderId="2" xfId="0" applyFill="1" applyBorder="1" applyAlignment="1">
      <alignment horizontal="center" vertical="top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9" borderId="2" xfId="0" applyFont="1" applyFill="1" applyBorder="1"/>
    <xf numFmtId="43" fontId="2" fillId="9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4" fontId="9" fillId="0" borderId="7" xfId="0" applyNumberFormat="1" applyFont="1" applyBorder="1" applyAlignment="1">
      <alignment horizontal="right" vertical="center"/>
    </xf>
    <xf numFmtId="4" fontId="10" fillId="0" borderId="7" xfId="0" applyNumberFormat="1" applyFont="1" applyBorder="1" applyAlignment="1">
      <alignment horizontal="right" vertical="center"/>
    </xf>
    <xf numFmtId="0" fontId="11" fillId="0" borderId="0" xfId="0" applyFont="1"/>
    <xf numFmtId="0" fontId="7" fillId="8" borderId="0" xfId="2" applyFont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43" fontId="2" fillId="2" borderId="2" xfId="0" applyNumberFormat="1" applyFont="1" applyFill="1" applyBorder="1"/>
    <xf numFmtId="0" fontId="11" fillId="5" borderId="2" xfId="0" applyFont="1" applyFill="1" applyBorder="1"/>
    <xf numFmtId="43" fontId="11" fillId="5" borderId="2" xfId="0" applyNumberFormat="1" applyFont="1" applyFill="1" applyBorder="1"/>
    <xf numFmtId="0" fontId="13" fillId="0" borderId="0" xfId="0" applyFont="1"/>
    <xf numFmtId="0" fontId="14" fillId="0" borderId="0" xfId="0" applyFont="1"/>
    <xf numFmtId="0" fontId="15" fillId="0" borderId="2" xfId="0" applyFont="1" applyBorder="1" applyAlignment="1">
      <alignment horizontal="center" wrapText="1"/>
    </xf>
    <xf numFmtId="0" fontId="13" fillId="0" borderId="2" xfId="0" applyFont="1" applyBorder="1"/>
    <xf numFmtId="0" fontId="13" fillId="2" borderId="3" xfId="0" applyFont="1" applyFill="1" applyBorder="1"/>
    <xf numFmtId="0" fontId="13" fillId="0" borderId="3" xfId="0" applyFont="1" applyBorder="1"/>
    <xf numFmtId="0" fontId="15" fillId="0" borderId="2" xfId="0" applyFont="1" applyBorder="1" applyAlignment="1">
      <alignment wrapText="1"/>
    </xf>
    <xf numFmtId="0" fontId="15" fillId="0" borderId="2" xfId="0" applyFont="1" applyBorder="1" applyAlignment="1">
      <alignment horizontal="center"/>
    </xf>
    <xf numFmtId="0" fontId="13" fillId="2" borderId="2" xfId="0" applyFont="1" applyFill="1" applyBorder="1"/>
    <xf numFmtId="0" fontId="13" fillId="2" borderId="0" xfId="0" applyFont="1" applyFill="1"/>
    <xf numFmtId="0" fontId="15" fillId="2" borderId="2" xfId="0" applyFont="1" applyFill="1" applyBorder="1"/>
    <xf numFmtId="0" fontId="13" fillId="7" borderId="2" xfId="0" applyFont="1" applyFill="1" applyBorder="1"/>
    <xf numFmtId="0" fontId="13" fillId="7" borderId="2" xfId="0" applyFont="1" applyFill="1" applyBorder="1" applyAlignment="1">
      <alignment horizontal="left"/>
    </xf>
    <xf numFmtId="0" fontId="15" fillId="7" borderId="2" xfId="0" applyFont="1" applyFill="1" applyBorder="1"/>
    <xf numFmtId="0" fontId="13" fillId="10" borderId="2" xfId="0" applyFont="1" applyFill="1" applyBorder="1"/>
    <xf numFmtId="0" fontId="13" fillId="10" borderId="3" xfId="0" applyFont="1" applyFill="1" applyBorder="1"/>
    <xf numFmtId="0" fontId="15" fillId="10" borderId="2" xfId="0" applyFont="1" applyFill="1" applyBorder="1"/>
    <xf numFmtId="0" fontId="13" fillId="0" borderId="2" xfId="0" applyFont="1" applyFill="1" applyBorder="1"/>
    <xf numFmtId="0" fontId="15" fillId="0" borderId="0" xfId="0" applyFont="1"/>
    <xf numFmtId="43" fontId="13" fillId="0" borderId="2" xfId="0" applyNumberFormat="1" applyFont="1" applyBorder="1"/>
    <xf numFmtId="0" fontId="0" fillId="5" borderId="2" xfId="0" applyFill="1" applyBorder="1" applyAlignment="1">
      <alignment horizontal="center" vertical="top"/>
    </xf>
    <xf numFmtId="0" fontId="12" fillId="0" borderId="0" xfId="0" applyFont="1" applyAlignment="1">
      <alignment horizontal="center"/>
    </xf>
    <xf numFmtId="0" fontId="1" fillId="2" borderId="2" xfId="0" applyFont="1" applyFill="1" applyBorder="1"/>
    <xf numFmtId="0" fontId="3" fillId="4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top"/>
    </xf>
    <xf numFmtId="0" fontId="13" fillId="10" borderId="0" xfId="0" applyFont="1" applyFill="1"/>
    <xf numFmtId="43" fontId="17" fillId="10" borderId="2" xfId="1" applyFont="1" applyFill="1" applyBorder="1"/>
    <xf numFmtId="0" fontId="17" fillId="10" borderId="2" xfId="0" applyFont="1" applyFill="1" applyBorder="1"/>
    <xf numFmtId="43" fontId="18" fillId="10" borderId="2" xfId="0" applyNumberFormat="1" applyFont="1" applyFill="1" applyBorder="1"/>
    <xf numFmtId="0" fontId="7" fillId="8" borderId="2" xfId="2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top" wrapText="1"/>
    </xf>
    <xf numFmtId="0" fontId="15" fillId="2" borderId="9" xfId="0" applyFont="1" applyFill="1" applyBorder="1" applyAlignment="1">
      <alignment horizontal="center" vertical="top" wrapText="1"/>
    </xf>
    <xf numFmtId="0" fontId="15" fillId="2" borderId="10" xfId="0" applyFont="1" applyFill="1" applyBorder="1" applyAlignment="1">
      <alignment horizontal="center" vertical="top" wrapText="1"/>
    </xf>
    <xf numFmtId="0" fontId="15" fillId="7" borderId="8" xfId="0" applyFont="1" applyFill="1" applyBorder="1" applyAlignment="1">
      <alignment horizontal="center" vertical="center" wrapText="1"/>
    </xf>
    <xf numFmtId="0" fontId="15" fillId="7" borderId="9" xfId="0" applyFont="1" applyFill="1" applyBorder="1" applyAlignment="1">
      <alignment horizontal="center" vertical="center" wrapText="1"/>
    </xf>
    <xf numFmtId="0" fontId="15" fillId="7" borderId="10" xfId="0" applyFont="1" applyFill="1" applyBorder="1" applyAlignment="1">
      <alignment horizontal="center" vertical="center" wrapText="1"/>
    </xf>
    <xf numFmtId="0" fontId="15" fillId="10" borderId="8" xfId="0" applyFont="1" applyFill="1" applyBorder="1" applyAlignment="1">
      <alignment horizontal="center" vertical="center" wrapText="1"/>
    </xf>
    <xf numFmtId="0" fontId="15" fillId="10" borderId="9" xfId="0" applyFont="1" applyFill="1" applyBorder="1" applyAlignment="1">
      <alignment horizontal="center" vertical="center" wrapText="1"/>
    </xf>
    <xf numFmtId="0" fontId="15" fillId="10" borderId="10" xfId="0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left"/>
    </xf>
    <xf numFmtId="0" fontId="13" fillId="0" borderId="4" xfId="0" applyFont="1" applyBorder="1" applyAlignment="1">
      <alignment horizontal="left"/>
    </xf>
    <xf numFmtId="0" fontId="15" fillId="0" borderId="3" xfId="0" applyFont="1" applyBorder="1" applyAlignment="1">
      <alignment horizontal="center" wrapText="1"/>
    </xf>
    <xf numFmtId="0" fontId="15" fillId="0" borderId="4" xfId="0" applyFont="1" applyBorder="1" applyAlignment="1">
      <alignment horizontal="center" wrapText="1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332974</xdr:colOff>
      <xdr:row>7</xdr:row>
      <xdr:rowOff>201706</xdr:rowOff>
    </xdr:from>
    <xdr:to>
      <xdr:col>23</xdr:col>
      <xdr:colOff>493122</xdr:colOff>
      <xdr:row>40</xdr:row>
      <xdr:rowOff>121433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0724" y="1684885"/>
          <a:ext cx="11712613" cy="7047345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8538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  <xdr:twoCellAnchor editAs="oneCell">
    <xdr:from>
      <xdr:col>7</xdr:col>
      <xdr:colOff>332974</xdr:colOff>
      <xdr:row>7</xdr:row>
      <xdr:rowOff>201706</xdr:rowOff>
    </xdr:from>
    <xdr:to>
      <xdr:col>23</xdr:col>
      <xdr:colOff>493122</xdr:colOff>
      <xdr:row>43</xdr:row>
      <xdr:rowOff>19418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73B3F7-DFF2-45AB-84C1-E848A6D53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72224" y="1678081"/>
          <a:ext cx="11685398" cy="7494862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33938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7390844-31F7-442A-BC5D-222C05856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67514" y="8062632"/>
          <a:ext cx="13025220" cy="73446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210090</xdr:colOff>
      <xdr:row>43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358988-F713-411A-A624-7DF8D5502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67690" cy="8230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332974</xdr:colOff>
      <xdr:row>7</xdr:row>
      <xdr:rowOff>201706</xdr:rowOff>
    </xdr:from>
    <xdr:to>
      <xdr:col>24</xdr:col>
      <xdr:colOff>493122</xdr:colOff>
      <xdr:row>43</xdr:row>
      <xdr:rowOff>86093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1DB5F8-810E-4955-9E3D-B82E38F68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10374" y="1636806"/>
          <a:ext cx="11888598" cy="6532837"/>
        </a:xfrm>
        <a:prstGeom prst="rect">
          <a:avLst/>
        </a:prstGeom>
      </xdr:spPr>
    </xdr:pic>
    <xdr:clientData/>
  </xdr:twoCellAnchor>
  <xdr:twoCellAnchor editAs="oneCell">
    <xdr:from>
      <xdr:col>9</xdr:col>
      <xdr:colOff>885264</xdr:colOff>
      <xdr:row>37</xdr:row>
      <xdr:rowOff>156882</xdr:rowOff>
    </xdr:from>
    <xdr:to>
      <xdr:col>29</xdr:col>
      <xdr:colOff>480234</xdr:colOff>
      <xdr:row>76</xdr:row>
      <xdr:rowOff>33938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E6597F-B064-400E-BCE9-222C08298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2814" y="7567332"/>
          <a:ext cx="13171270" cy="7058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332974</xdr:colOff>
      <xdr:row>7</xdr:row>
      <xdr:rowOff>201706</xdr:rowOff>
    </xdr:from>
    <xdr:to>
      <xdr:col>23</xdr:col>
      <xdr:colOff>493122</xdr:colOff>
      <xdr:row>43</xdr:row>
      <xdr:rowOff>86093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2AB5E7-D946-42B3-BAE9-E3BC70A18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10374" y="1636806"/>
          <a:ext cx="11888598" cy="6532837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33938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EEA78B-C7F2-4874-9A2A-9FCEA64F5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2814" y="7567332"/>
          <a:ext cx="13171270" cy="7058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332974</xdr:colOff>
      <xdr:row>7</xdr:row>
      <xdr:rowOff>201706</xdr:rowOff>
    </xdr:from>
    <xdr:to>
      <xdr:col>23</xdr:col>
      <xdr:colOff>493122</xdr:colOff>
      <xdr:row>45</xdr:row>
      <xdr:rowOff>174993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A6DC21-5C68-4FDB-9D32-E691A784D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10374" y="1636806"/>
          <a:ext cx="11888598" cy="6990037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59338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8B5B14-A162-4E31-88E8-8BECD8EDF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2814" y="7567332"/>
          <a:ext cx="13171270" cy="70843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332974</xdr:colOff>
      <xdr:row>7</xdr:row>
      <xdr:rowOff>201706</xdr:rowOff>
    </xdr:from>
    <xdr:to>
      <xdr:col>23</xdr:col>
      <xdr:colOff>493122</xdr:colOff>
      <xdr:row>44</xdr:row>
      <xdr:rowOff>159533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7C115F-07B0-4BC1-89EA-D7C74DF64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72224" y="1678081"/>
          <a:ext cx="11685398" cy="7015852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46638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FD8C29-DAF9-42E0-AD4C-D82B02BB5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67514" y="8129307"/>
          <a:ext cx="13025220" cy="73192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332974</xdr:colOff>
      <xdr:row>7</xdr:row>
      <xdr:rowOff>201706</xdr:rowOff>
    </xdr:from>
    <xdr:to>
      <xdr:col>23</xdr:col>
      <xdr:colOff>493122</xdr:colOff>
      <xdr:row>47</xdr:row>
      <xdr:rowOff>67043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0DA81E-089A-423D-88BB-4CE8B0221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77174" y="1678081"/>
          <a:ext cx="11685398" cy="7494862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36</xdr:row>
      <xdr:rowOff>156882</xdr:rowOff>
    </xdr:from>
    <xdr:to>
      <xdr:col>28</xdr:col>
      <xdr:colOff>480234</xdr:colOff>
      <xdr:row>75</xdr:row>
      <xdr:rowOff>72038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608FFB-AA2E-461E-8A39-481E73E6B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72464" y="8062632"/>
          <a:ext cx="13025220" cy="7344656"/>
        </a:xfrm>
        <a:prstGeom prst="rect">
          <a:avLst/>
        </a:prstGeom>
      </xdr:spPr>
    </xdr:pic>
    <xdr:clientData/>
  </xdr:twoCellAnchor>
  <xdr:twoCellAnchor editAs="oneCell">
    <xdr:from>
      <xdr:col>7</xdr:col>
      <xdr:colOff>332974</xdr:colOff>
      <xdr:row>7</xdr:row>
      <xdr:rowOff>201706</xdr:rowOff>
    </xdr:from>
    <xdr:to>
      <xdr:col>23</xdr:col>
      <xdr:colOff>493122</xdr:colOff>
      <xdr:row>45</xdr:row>
      <xdr:rowOff>35708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439E04-244F-4ED0-85CA-F10A15DEB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72224" y="1678081"/>
          <a:ext cx="11685398" cy="7825477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56163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38CA560-9154-437A-B369-687701EA3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67514" y="8129307"/>
          <a:ext cx="13025220" cy="73573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0</xdr:row>
      <xdr:rowOff>0</xdr:rowOff>
    </xdr:from>
    <xdr:to>
      <xdr:col>18</xdr:col>
      <xdr:colOff>287255</xdr:colOff>
      <xdr:row>40</xdr:row>
      <xdr:rowOff>67748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493CA8-6CD7-45FB-B212-ECA829193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0"/>
          <a:ext cx="10783805" cy="76877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409575</xdr:colOff>
      <xdr:row>47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9D9725-22F9-4673-875A-7128714C0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05575" cy="9105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37</xdr:row>
      <xdr:rowOff>957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CFD17B-56C0-4FA1-AA82-8D9DB1D5D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68589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7"/>
  <sheetViews>
    <sheetView zoomScale="115" zoomScaleNormal="115" workbookViewId="0">
      <selection activeCell="E18" sqref="E18"/>
    </sheetView>
  </sheetViews>
  <sheetFormatPr defaultRowHeight="15" x14ac:dyDescent="0.25"/>
  <cols>
    <col min="1" max="1" width="26.8554687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86" t="s">
        <v>47</v>
      </c>
      <c r="B1" s="86"/>
      <c r="C1" s="86"/>
    </row>
    <row r="2" spans="1:12" ht="15" customHeight="1" x14ac:dyDescent="0.25">
      <c r="A2" s="87" t="s">
        <v>9</v>
      </c>
      <c r="B2" s="87"/>
      <c r="C2" s="23">
        <v>2001</v>
      </c>
      <c r="E2" t="s">
        <v>34</v>
      </c>
    </row>
    <row r="3" spans="1:12" x14ac:dyDescent="0.25">
      <c r="A3" s="24"/>
      <c r="B3" s="24"/>
      <c r="C3" s="24"/>
      <c r="E3" t="s">
        <v>31</v>
      </c>
      <c r="F3">
        <f>ROUND(F2*1.2,2)</f>
        <v>0</v>
      </c>
      <c r="G3" t="e">
        <f>F3/F2</f>
        <v>#DIV/0!</v>
      </c>
      <c r="L3" s="3"/>
    </row>
    <row r="4" spans="1:12" x14ac:dyDescent="0.25">
      <c r="A4" s="24" t="s">
        <v>10</v>
      </c>
      <c r="B4" s="24"/>
      <c r="C4" s="24">
        <v>2001</v>
      </c>
      <c r="G4" s="91" t="s">
        <v>14</v>
      </c>
      <c r="H4" s="92"/>
      <c r="K4" s="90"/>
      <c r="L4" s="90"/>
    </row>
    <row r="5" spans="1:12" x14ac:dyDescent="0.25">
      <c r="A5" s="24" t="s">
        <v>0</v>
      </c>
      <c r="B5" s="24"/>
      <c r="C5" s="24">
        <v>1981</v>
      </c>
      <c r="D5" t="s">
        <v>39</v>
      </c>
      <c r="G5" s="14" t="s">
        <v>26</v>
      </c>
      <c r="H5" s="15">
        <v>44</v>
      </c>
      <c r="J5" s="10"/>
    </row>
    <row r="6" spans="1:12" x14ac:dyDescent="0.25">
      <c r="A6" s="24" t="s">
        <v>1</v>
      </c>
      <c r="B6" s="25"/>
      <c r="C6" s="24">
        <f>C4-C5</f>
        <v>20</v>
      </c>
      <c r="D6">
        <f>70-C6</f>
        <v>50</v>
      </c>
      <c r="G6" s="14" t="s">
        <v>27</v>
      </c>
      <c r="H6" s="17">
        <v>14</v>
      </c>
    </row>
    <row r="7" spans="1:12" x14ac:dyDescent="0.25">
      <c r="A7" s="88" t="s">
        <v>15</v>
      </c>
      <c r="B7" s="25" t="s">
        <v>11</v>
      </c>
      <c r="C7" s="25" t="s">
        <v>12</v>
      </c>
      <c r="G7" s="14" t="s">
        <v>28</v>
      </c>
      <c r="H7" s="16">
        <v>53000</v>
      </c>
      <c r="I7" s="2"/>
      <c r="J7" s="2"/>
    </row>
    <row r="8" spans="1:12" ht="15.75" customHeight="1" x14ac:dyDescent="0.25">
      <c r="A8" s="88"/>
      <c r="B8" s="25">
        <v>1035</v>
      </c>
      <c r="C8" s="26">
        <f>ROUND(B8/10.764,2)</f>
        <v>96.15</v>
      </c>
      <c r="F8" s="1"/>
      <c r="G8" s="13"/>
      <c r="H8" s="2"/>
      <c r="I8" s="2"/>
    </row>
    <row r="9" spans="1:12" ht="33.75" customHeight="1" x14ac:dyDescent="0.25">
      <c r="A9" s="77"/>
      <c r="B9" s="25"/>
      <c r="C9" s="25"/>
      <c r="G9" s="9" t="s">
        <v>19</v>
      </c>
      <c r="H9" s="2"/>
      <c r="K9" s="1"/>
    </row>
    <row r="10" spans="1:12" x14ac:dyDescent="0.25">
      <c r="A10" s="28" t="s">
        <v>18</v>
      </c>
      <c r="B10" s="29"/>
      <c r="C10" s="30">
        <v>5500</v>
      </c>
      <c r="D10" t="s">
        <v>23</v>
      </c>
      <c r="I10" s="2"/>
    </row>
    <row r="11" spans="1:12" x14ac:dyDescent="0.25">
      <c r="A11" s="28"/>
      <c r="B11" s="29"/>
      <c r="C11" s="29"/>
      <c r="D11" t="s">
        <v>24</v>
      </c>
    </row>
    <row r="12" spans="1:12" x14ac:dyDescent="0.25">
      <c r="A12" s="29" t="s">
        <v>16</v>
      </c>
      <c r="B12" s="29"/>
      <c r="C12" s="30">
        <f>ROUND(C8*C10,0)</f>
        <v>528825</v>
      </c>
      <c r="D12" s="2" t="s">
        <v>25</v>
      </c>
      <c r="I12" s="4"/>
      <c r="J12" s="4"/>
      <c r="K12" s="4"/>
    </row>
    <row r="13" spans="1:12" x14ac:dyDescent="0.25">
      <c r="A13" s="29"/>
      <c r="B13" s="29"/>
      <c r="C13" s="30"/>
      <c r="D13" t="s">
        <v>30</v>
      </c>
      <c r="F13" s="6"/>
      <c r="G13" s="6"/>
      <c r="H13" s="6"/>
      <c r="I13" s="4"/>
      <c r="J13" s="4"/>
      <c r="K13" s="4"/>
    </row>
    <row r="14" spans="1:12" x14ac:dyDescent="0.25">
      <c r="A14" s="29" t="s">
        <v>2</v>
      </c>
      <c r="B14" s="29"/>
      <c r="C14" s="29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29" t="s">
        <v>37</v>
      </c>
      <c r="B15" s="29"/>
      <c r="C15" s="31">
        <f>C14*C6/70</f>
        <v>25.714285714285715</v>
      </c>
      <c r="F15" s="6"/>
      <c r="G15" s="6"/>
      <c r="H15" s="7"/>
      <c r="I15" s="4"/>
      <c r="J15" s="4"/>
      <c r="K15" s="4"/>
    </row>
    <row r="16" spans="1:12" x14ac:dyDescent="0.25">
      <c r="A16" s="29"/>
      <c r="B16" s="29"/>
      <c r="C16" s="32">
        <v>0.2571</v>
      </c>
      <c r="G16" s="6"/>
      <c r="H16" s="5"/>
      <c r="I16" s="89"/>
      <c r="J16" s="89"/>
      <c r="K16" s="89"/>
    </row>
    <row r="17" spans="1:11" x14ac:dyDescent="0.25">
      <c r="A17" s="24" t="s">
        <v>3</v>
      </c>
      <c r="B17" s="24"/>
      <c r="C17" s="33">
        <f>ROUND(C12*C16,0)</f>
        <v>135961</v>
      </c>
      <c r="D17" s="2"/>
      <c r="E17" s="2"/>
    </row>
    <row r="18" spans="1:11" x14ac:dyDescent="0.25">
      <c r="A18" s="34" t="s">
        <v>13</v>
      </c>
      <c r="B18" s="34"/>
      <c r="C18" s="34"/>
      <c r="E18" s="1"/>
    </row>
    <row r="19" spans="1:11" x14ac:dyDescent="0.25">
      <c r="A19" s="35" t="s">
        <v>17</v>
      </c>
      <c r="B19" s="35"/>
      <c r="C19" s="36">
        <f>H7</f>
        <v>53000</v>
      </c>
    </row>
    <row r="20" spans="1:11" x14ac:dyDescent="0.25">
      <c r="A20" s="37"/>
      <c r="B20" s="37"/>
      <c r="C20" s="37"/>
    </row>
    <row r="21" spans="1:11" x14ac:dyDescent="0.25">
      <c r="A21" s="38" t="s">
        <v>20</v>
      </c>
      <c r="B21" s="38"/>
      <c r="C21" s="39">
        <f>ROUND(C19*C8,0)</f>
        <v>5095950</v>
      </c>
    </row>
    <row r="22" spans="1:11" x14ac:dyDescent="0.25">
      <c r="A22" s="40"/>
      <c r="B22" s="40"/>
      <c r="C22" s="41"/>
      <c r="E22" t="s">
        <v>21</v>
      </c>
      <c r="F22" t="s">
        <v>22</v>
      </c>
    </row>
    <row r="23" spans="1:11" s="19" customFormat="1" x14ac:dyDescent="0.25">
      <c r="A23" s="42" t="s">
        <v>38</v>
      </c>
      <c r="B23" s="42"/>
      <c r="C23" s="43">
        <f>C21-C17</f>
        <v>4959989</v>
      </c>
      <c r="E23" s="20">
        <f>C23</f>
        <v>4959989</v>
      </c>
      <c r="F23" s="20">
        <f>C23</f>
        <v>4959989</v>
      </c>
      <c r="G23" s="21"/>
    </row>
    <row r="24" spans="1:11" x14ac:dyDescent="0.25">
      <c r="A24" s="40"/>
      <c r="B24" s="40"/>
      <c r="C24" s="40"/>
      <c r="D24" t="s">
        <v>35</v>
      </c>
      <c r="E24" s="2">
        <v>1000000</v>
      </c>
      <c r="F24" s="12">
        <f>ROUND(F23*1%,0)</f>
        <v>49600</v>
      </c>
      <c r="G24" s="2"/>
    </row>
    <row r="25" spans="1:11" x14ac:dyDescent="0.25">
      <c r="A25" s="29" t="s">
        <v>4</v>
      </c>
      <c r="B25" s="29"/>
      <c r="C25" s="44">
        <f>E28</f>
        <v>355549</v>
      </c>
      <c r="E25" s="2">
        <f>ROUND(E23-E24,500)</f>
        <v>3959989</v>
      </c>
      <c r="F25">
        <v>20000</v>
      </c>
      <c r="G25" t="s">
        <v>29</v>
      </c>
    </row>
    <row r="26" spans="1:11" x14ac:dyDescent="0.25">
      <c r="A26" s="29" t="s">
        <v>5</v>
      </c>
      <c r="B26" s="29"/>
      <c r="C26" s="44">
        <f>F25</f>
        <v>20000</v>
      </c>
      <c r="D26" t="s">
        <v>36</v>
      </c>
      <c r="E26" s="2">
        <f>ROUND(E25*8%,0)</f>
        <v>316799</v>
      </c>
      <c r="G26" s="1"/>
      <c r="K26" s="1"/>
    </row>
    <row r="27" spans="1:11" x14ac:dyDescent="0.25">
      <c r="A27" s="29"/>
      <c r="B27" s="29"/>
      <c r="C27" s="29"/>
      <c r="E27" s="1">
        <v>38750</v>
      </c>
      <c r="J27" s="8"/>
      <c r="K27" s="8"/>
    </row>
    <row r="28" spans="1:11" x14ac:dyDescent="0.25">
      <c r="A28" s="45" t="s">
        <v>6</v>
      </c>
      <c r="B28" s="45"/>
      <c r="C28" s="46">
        <f>ROUND(C26+C25+C23,0)</f>
        <v>5335538</v>
      </c>
      <c r="E28" s="11">
        <f>ROUND(E26+E27,0)</f>
        <v>355549</v>
      </c>
      <c r="J28" s="8"/>
    </row>
    <row r="29" spans="1:11" x14ac:dyDescent="0.25">
      <c r="A29" s="29" t="s">
        <v>7</v>
      </c>
      <c r="B29" s="29"/>
      <c r="C29" s="30">
        <v>0</v>
      </c>
      <c r="E29" s="2"/>
      <c r="J29" s="8"/>
    </row>
    <row r="30" spans="1:11" x14ac:dyDescent="0.25">
      <c r="A30" s="29" t="s">
        <v>32</v>
      </c>
      <c r="B30" s="29"/>
      <c r="C30" s="30">
        <v>100</v>
      </c>
      <c r="E30" s="2"/>
      <c r="J30" s="8"/>
    </row>
    <row r="31" spans="1:11" x14ac:dyDescent="0.25">
      <c r="A31" s="29" t="s">
        <v>33</v>
      </c>
      <c r="B31" s="29"/>
      <c r="C31" s="30">
        <v>348</v>
      </c>
      <c r="E31" s="2"/>
      <c r="J31" s="8"/>
    </row>
    <row r="32" spans="1:11" x14ac:dyDescent="0.25">
      <c r="A32" s="29" t="s">
        <v>8</v>
      </c>
      <c r="B32" s="29"/>
      <c r="C32" s="30">
        <f>C28*C31/C30</f>
        <v>18567672.239999998</v>
      </c>
      <c r="E32" s="2"/>
      <c r="J32" s="2"/>
    </row>
    <row r="33" spans="1:21" x14ac:dyDescent="0.25">
      <c r="A33" s="28" t="s">
        <v>8</v>
      </c>
      <c r="B33" s="45"/>
      <c r="C33" s="46">
        <f>ROUND(C32,0)</f>
        <v>18567672</v>
      </c>
    </row>
    <row r="34" spans="1:21" x14ac:dyDescent="0.25">
      <c r="U34">
        <f>32.91+37.7</f>
        <v>70.61</v>
      </c>
    </row>
    <row r="35" spans="1:21" ht="15.75" thickBot="1" x14ac:dyDescent="0.3"/>
    <row r="36" spans="1:21" ht="50.25" thickBot="1" x14ac:dyDescent="0.3">
      <c r="A36" s="47" t="s">
        <v>40</v>
      </c>
      <c r="B36" s="48" t="s">
        <v>41</v>
      </c>
      <c r="C36" s="48" t="s">
        <v>42</v>
      </c>
      <c r="D36" s="48" t="s">
        <v>43</v>
      </c>
      <c r="E36" s="48" t="s">
        <v>44</v>
      </c>
      <c r="F36" s="48" t="s">
        <v>8</v>
      </c>
    </row>
    <row r="37" spans="1:21" ht="15.75" thickBot="1" x14ac:dyDescent="0.3">
      <c r="A37" s="49" t="s">
        <v>45</v>
      </c>
      <c r="B37" s="49">
        <v>2001</v>
      </c>
      <c r="C37" s="49">
        <f>C28</f>
        <v>5335538</v>
      </c>
      <c r="D37" s="49">
        <v>100</v>
      </c>
      <c r="E37" s="49">
        <v>348</v>
      </c>
      <c r="F37" s="49">
        <f>ROUND(E37/D37*C37,0)</f>
        <v>18567672</v>
      </c>
    </row>
    <row r="38" spans="1:21" ht="15.75" thickBot="1" x14ac:dyDescent="0.3">
      <c r="A38" s="49"/>
      <c r="B38" s="49"/>
      <c r="C38" s="49"/>
      <c r="D38" s="49"/>
      <c r="E38" s="49"/>
      <c r="F38" s="49"/>
    </row>
    <row r="39" spans="1:21" ht="15.75" thickBot="1" x14ac:dyDescent="0.3">
      <c r="A39" s="49"/>
      <c r="B39" s="49"/>
      <c r="C39" s="49"/>
      <c r="D39" s="49"/>
      <c r="E39" s="49"/>
      <c r="F39" s="49"/>
    </row>
    <row r="40" spans="1:21" ht="15.75" thickBot="1" x14ac:dyDescent="0.3">
      <c r="A40" s="49"/>
      <c r="B40" s="49"/>
      <c r="C40" s="49"/>
      <c r="D40" s="49"/>
      <c r="E40" s="49"/>
      <c r="F40" s="50">
        <f>SUM(F37:F39)</f>
        <v>18567672</v>
      </c>
    </row>
    <row r="41" spans="1:21" ht="15.75" thickBot="1" x14ac:dyDescent="0.3">
      <c r="A41" s="49"/>
      <c r="B41" s="49"/>
      <c r="C41" s="49"/>
      <c r="D41" s="49"/>
      <c r="E41" s="49"/>
      <c r="F41" s="49"/>
    </row>
    <row r="47" spans="1:21" x14ac:dyDescent="0.25">
      <c r="G47" t="s">
        <v>46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2502B-B749-4562-AAAC-755631DA3EDA}">
  <dimension ref="A1"/>
  <sheetViews>
    <sheetView topLeftCell="A13" workbookViewId="0">
      <selection activeCell="O32" sqref="O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P27:S31"/>
  <sheetViews>
    <sheetView workbookViewId="0">
      <selection activeCell="B2" sqref="B2"/>
    </sheetView>
  </sheetViews>
  <sheetFormatPr defaultRowHeight="15" x14ac:dyDescent="0.25"/>
  <sheetData>
    <row r="27" spans="16:19" x14ac:dyDescent="0.25">
      <c r="P27" s="18"/>
      <c r="Q27" s="18"/>
      <c r="R27" s="18"/>
      <c r="S27" s="18"/>
    </row>
    <row r="28" spans="16:19" x14ac:dyDescent="0.25">
      <c r="P28" s="18"/>
      <c r="Q28" s="18"/>
      <c r="R28" s="18"/>
      <c r="S28" s="18"/>
    </row>
    <row r="29" spans="16:19" x14ac:dyDescent="0.25">
      <c r="P29" s="18"/>
      <c r="Q29" s="18"/>
      <c r="R29" s="18"/>
      <c r="S29" s="18"/>
    </row>
    <row r="30" spans="16:19" x14ac:dyDescent="0.25">
      <c r="P30" s="18"/>
      <c r="Q30" s="18"/>
      <c r="R30" s="18"/>
      <c r="S30" s="18"/>
    </row>
    <row r="31" spans="16:19" x14ac:dyDescent="0.25">
      <c r="P31" s="18"/>
      <c r="Q31" s="18"/>
      <c r="R31" s="18"/>
      <c r="S31" s="18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38E13-C499-4F3C-943C-173BC805E13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43"/>
  <sheetViews>
    <sheetView tabSelected="1" topLeftCell="A4" workbookViewId="0">
      <selection activeCell="Q19" sqref="Q19"/>
    </sheetView>
  </sheetViews>
  <sheetFormatPr defaultRowHeight="12.75" x14ac:dyDescent="0.2"/>
  <cols>
    <col min="1" max="1" width="4.85546875" style="57" customWidth="1"/>
    <col min="2" max="2" width="12.42578125" style="57" customWidth="1"/>
    <col min="3" max="3" width="24.7109375" style="57" customWidth="1"/>
    <col min="4" max="4" width="9.140625" style="57"/>
    <col min="5" max="5" width="15.42578125" style="57" customWidth="1"/>
    <col min="6" max="7" width="13.7109375" style="57" customWidth="1"/>
    <col min="8" max="8" width="15.42578125" style="57" customWidth="1"/>
    <col min="9" max="9" width="14.28515625" style="57" customWidth="1"/>
    <col min="10" max="10" width="13.85546875" style="57" customWidth="1"/>
    <col min="11" max="11" width="13.5703125" style="57" customWidth="1"/>
    <col min="12" max="12" width="13.7109375" style="57" bestFit="1" customWidth="1"/>
    <col min="13" max="16384" width="9.140625" style="57"/>
  </cols>
  <sheetData>
    <row r="1" spans="1:12" x14ac:dyDescent="0.2">
      <c r="D1" s="58" t="s">
        <v>53</v>
      </c>
    </row>
    <row r="3" spans="1:12" ht="35.25" customHeight="1" x14ac:dyDescent="0.2">
      <c r="A3" s="59" t="s">
        <v>54</v>
      </c>
      <c r="B3" s="59" t="s">
        <v>55</v>
      </c>
      <c r="C3" s="59" t="s">
        <v>56</v>
      </c>
      <c r="D3" s="103" t="s">
        <v>57</v>
      </c>
      <c r="E3" s="104"/>
      <c r="F3" s="59" t="s">
        <v>58</v>
      </c>
      <c r="G3" s="59" t="s">
        <v>59</v>
      </c>
      <c r="H3" s="59" t="s">
        <v>60</v>
      </c>
      <c r="J3" s="60" t="s">
        <v>61</v>
      </c>
      <c r="K3" s="60" t="s">
        <v>62</v>
      </c>
      <c r="L3" s="57" t="s">
        <v>63</v>
      </c>
    </row>
    <row r="4" spans="1:12" ht="24.95" customHeight="1" x14ac:dyDescent="0.2">
      <c r="A4" s="60">
        <v>1</v>
      </c>
      <c r="B4" s="60" t="s">
        <v>64</v>
      </c>
      <c r="C4" s="60" t="s">
        <v>65</v>
      </c>
      <c r="D4" s="60" t="s">
        <v>66</v>
      </c>
      <c r="E4" s="60"/>
      <c r="F4" s="60" t="s">
        <v>52</v>
      </c>
      <c r="G4" s="60">
        <v>1035</v>
      </c>
      <c r="H4" s="60">
        <f>G4/10.764</f>
        <v>96.15384615384616</v>
      </c>
      <c r="J4" s="60">
        <v>146000</v>
      </c>
      <c r="K4" s="76">
        <f>'101 MM'!C28</f>
        <v>5335538</v>
      </c>
    </row>
    <row r="5" spans="1:12" ht="24.95" customHeight="1" x14ac:dyDescent="0.2">
      <c r="A5" s="60">
        <v>2</v>
      </c>
      <c r="B5" s="60" t="s">
        <v>67</v>
      </c>
      <c r="C5" s="60" t="s">
        <v>68</v>
      </c>
      <c r="D5" s="60" t="s">
        <v>100</v>
      </c>
      <c r="E5" s="60"/>
      <c r="F5" s="60" t="s">
        <v>52</v>
      </c>
      <c r="G5" s="60">
        <v>505</v>
      </c>
      <c r="H5" s="60">
        <f>G5/10.764</f>
        <v>46.915644741731704</v>
      </c>
      <c r="J5" s="60">
        <v>131000</v>
      </c>
      <c r="K5" s="76">
        <f>'102 MM'!C28</f>
        <v>2771755</v>
      </c>
    </row>
    <row r="6" spans="1:12" ht="24.95" customHeight="1" x14ac:dyDescent="0.2">
      <c r="A6" s="60">
        <v>4</v>
      </c>
      <c r="B6" s="60" t="s">
        <v>71</v>
      </c>
      <c r="C6" s="60" t="s">
        <v>72</v>
      </c>
      <c r="D6" s="60" t="s">
        <v>73</v>
      </c>
      <c r="E6" s="60"/>
      <c r="F6" s="60" t="s">
        <v>52</v>
      </c>
      <c r="G6" s="60">
        <v>1035</v>
      </c>
      <c r="H6" s="60">
        <f>G6/10.764</f>
        <v>96.15384615384616</v>
      </c>
      <c r="J6" s="60">
        <v>8000000</v>
      </c>
      <c r="K6" s="76">
        <f>'301 MM'!C28</f>
        <v>5335538</v>
      </c>
    </row>
    <row r="7" spans="1:12" ht="24.95" customHeight="1" x14ac:dyDescent="0.2">
      <c r="A7" s="60">
        <v>5</v>
      </c>
      <c r="B7" s="60" t="s">
        <v>71</v>
      </c>
      <c r="C7" s="60" t="s">
        <v>70</v>
      </c>
      <c r="D7" s="105" t="s">
        <v>74</v>
      </c>
      <c r="E7" s="106"/>
      <c r="F7" s="60" t="s">
        <v>52</v>
      </c>
      <c r="G7" s="60">
        <v>505</v>
      </c>
      <c r="H7" s="60">
        <f t="shared" ref="H7:H9" si="0">G7/10.764</f>
        <v>46.915644741731704</v>
      </c>
      <c r="J7" s="60">
        <v>4000000</v>
      </c>
      <c r="K7" s="76">
        <f>'302 MM'!C28</f>
        <v>2592796</v>
      </c>
    </row>
    <row r="8" spans="1:12" ht="24.95" customHeight="1" x14ac:dyDescent="0.2">
      <c r="A8" s="60">
        <v>6</v>
      </c>
      <c r="B8" s="61" t="s">
        <v>75</v>
      </c>
      <c r="C8" s="62" t="s">
        <v>76</v>
      </c>
      <c r="D8" s="105" t="s">
        <v>77</v>
      </c>
      <c r="E8" s="106"/>
      <c r="F8" s="60" t="s">
        <v>52</v>
      </c>
      <c r="G8" s="60">
        <v>1035</v>
      </c>
      <c r="H8" s="60">
        <f t="shared" si="0"/>
        <v>96.15384615384616</v>
      </c>
      <c r="J8" s="60">
        <v>2800000</v>
      </c>
      <c r="K8" s="76">
        <f>'701 MM'!C28</f>
        <v>6366590</v>
      </c>
    </row>
    <row r="9" spans="1:12" ht="24.95" customHeight="1" x14ac:dyDescent="0.2">
      <c r="A9" s="60">
        <v>7</v>
      </c>
      <c r="B9" s="61" t="s">
        <v>78</v>
      </c>
      <c r="C9" s="62" t="s">
        <v>79</v>
      </c>
      <c r="D9" s="105" t="s">
        <v>80</v>
      </c>
      <c r="E9" s="106"/>
      <c r="F9" s="60" t="s">
        <v>52</v>
      </c>
      <c r="G9" s="60">
        <v>505</v>
      </c>
      <c r="H9" s="60">
        <f t="shared" si="0"/>
        <v>46.915644741731704</v>
      </c>
      <c r="J9" s="60">
        <v>1200000</v>
      </c>
      <c r="K9" s="76">
        <f>'702MM'!C28</f>
        <v>3095937</v>
      </c>
    </row>
    <row r="10" spans="1:12" ht="15.75" customHeight="1" x14ac:dyDescent="0.2"/>
    <row r="11" spans="1:12" ht="4.5" hidden="1" customHeight="1" x14ac:dyDescent="0.2"/>
    <row r="12" spans="1:12" ht="33" customHeight="1" x14ac:dyDescent="0.2">
      <c r="A12" s="63" t="s">
        <v>81</v>
      </c>
      <c r="B12" s="63"/>
      <c r="C12" s="64" t="s">
        <v>56</v>
      </c>
      <c r="D12" s="107" t="s">
        <v>82</v>
      </c>
      <c r="E12" s="108"/>
      <c r="F12" s="59" t="s">
        <v>58</v>
      </c>
      <c r="G12" s="59" t="s">
        <v>83</v>
      </c>
      <c r="H12" s="59" t="s">
        <v>84</v>
      </c>
      <c r="I12" s="59" t="s">
        <v>59</v>
      </c>
      <c r="J12" s="59" t="s">
        <v>60</v>
      </c>
      <c r="K12" s="59" t="s">
        <v>106</v>
      </c>
      <c r="L12" s="63" t="s">
        <v>107</v>
      </c>
    </row>
    <row r="13" spans="1:12" s="66" customFormat="1" ht="24.95" customHeight="1" x14ac:dyDescent="0.2">
      <c r="A13" s="65">
        <v>1</v>
      </c>
      <c r="B13" s="94" t="s">
        <v>85</v>
      </c>
      <c r="C13" s="65" t="s">
        <v>65</v>
      </c>
      <c r="D13" s="65" t="s">
        <v>66</v>
      </c>
      <c r="E13" s="65"/>
      <c r="F13" s="65">
        <v>1064.1500000000001</v>
      </c>
      <c r="G13" s="65">
        <v>13.88</v>
      </c>
      <c r="H13" s="65">
        <f>G13+F13+E13</f>
        <v>1078.0300000000002</v>
      </c>
      <c r="I13" s="65">
        <f>120.18*10.764</f>
        <v>1293.61752</v>
      </c>
      <c r="J13" s="65">
        <f>I13/10.764</f>
        <v>120.18</v>
      </c>
      <c r="K13" s="65"/>
      <c r="L13" s="65"/>
    </row>
    <row r="14" spans="1:12" s="66" customFormat="1" ht="24.95" customHeight="1" x14ac:dyDescent="0.2">
      <c r="A14" s="65"/>
      <c r="B14" s="95"/>
      <c r="C14" s="65"/>
      <c r="D14" s="65" t="s">
        <v>86</v>
      </c>
      <c r="E14" s="65"/>
      <c r="F14" s="65"/>
      <c r="G14" s="65"/>
      <c r="H14" s="65"/>
      <c r="I14" s="65"/>
      <c r="J14" s="65"/>
      <c r="K14" s="65"/>
      <c r="L14" s="65"/>
    </row>
    <row r="15" spans="1:12" s="66" customFormat="1" ht="23.25" customHeight="1" x14ac:dyDescent="0.2">
      <c r="A15" s="65"/>
      <c r="B15" s="95"/>
      <c r="C15" s="65"/>
      <c r="D15" s="65" t="s">
        <v>87</v>
      </c>
      <c r="E15" s="65"/>
      <c r="F15" s="65"/>
      <c r="G15" s="65"/>
      <c r="H15" s="65"/>
      <c r="I15" s="65"/>
      <c r="J15" s="65"/>
      <c r="K15" s="65"/>
      <c r="L15" s="65"/>
    </row>
    <row r="16" spans="1:12" s="66" customFormat="1" ht="16.5" customHeight="1" x14ac:dyDescent="0.2">
      <c r="A16" s="65"/>
      <c r="B16" s="95"/>
      <c r="C16" s="65" t="s">
        <v>70</v>
      </c>
      <c r="D16" s="65" t="s">
        <v>69</v>
      </c>
      <c r="E16" s="65"/>
      <c r="F16" s="65">
        <f>I16-H16</f>
        <v>106.78327999999999</v>
      </c>
      <c r="G16" s="65">
        <v>3.89</v>
      </c>
      <c r="H16" s="65">
        <v>533.89</v>
      </c>
      <c r="I16" s="65">
        <f>59.52*10.764</f>
        <v>640.67327999999998</v>
      </c>
      <c r="J16" s="65">
        <f>I16/10.764</f>
        <v>59.52</v>
      </c>
      <c r="K16" s="65"/>
      <c r="L16" s="65"/>
    </row>
    <row r="17" spans="1:12" s="66" customFormat="1" ht="16.5" customHeight="1" x14ac:dyDescent="0.2">
      <c r="A17" s="65"/>
      <c r="B17" s="95"/>
      <c r="C17" s="65"/>
      <c r="D17" s="65" t="s">
        <v>88</v>
      </c>
      <c r="E17" s="65"/>
      <c r="F17" s="65"/>
      <c r="G17" s="65"/>
      <c r="H17" s="65"/>
      <c r="I17" s="65"/>
      <c r="J17" s="65"/>
      <c r="K17" s="65"/>
      <c r="L17" s="65"/>
    </row>
    <row r="18" spans="1:12" s="66" customFormat="1" ht="15" customHeight="1" x14ac:dyDescent="0.2">
      <c r="A18" s="65"/>
      <c r="B18" s="96"/>
      <c r="C18" s="65"/>
      <c r="E18" s="65"/>
      <c r="F18" s="65"/>
      <c r="G18" s="67" t="s">
        <v>89</v>
      </c>
      <c r="H18" s="67">
        <f>H16+H13</f>
        <v>1611.92</v>
      </c>
      <c r="I18" s="67">
        <f>I16+I13</f>
        <v>1934.2908</v>
      </c>
      <c r="J18" s="65"/>
      <c r="K18" s="65"/>
      <c r="L18" s="65"/>
    </row>
    <row r="19" spans="1:12" ht="24.95" customHeight="1" x14ac:dyDescent="0.2">
      <c r="A19" s="68">
        <v>2</v>
      </c>
      <c r="B19" s="97" t="s">
        <v>90</v>
      </c>
      <c r="C19" s="69" t="s">
        <v>91</v>
      </c>
      <c r="D19" s="68" t="s">
        <v>73</v>
      </c>
      <c r="E19" s="68"/>
      <c r="F19" s="68">
        <v>1064.1500000000001</v>
      </c>
      <c r="G19" s="68">
        <v>13.88</v>
      </c>
      <c r="H19" s="68">
        <f>G19+F19+E19</f>
        <v>1078.0300000000002</v>
      </c>
      <c r="I19" s="68">
        <f>120.18*10.764</f>
        <v>1293.61752</v>
      </c>
      <c r="J19" s="68">
        <f>I19/10.764</f>
        <v>120.18</v>
      </c>
      <c r="K19" s="68"/>
      <c r="L19" s="60"/>
    </row>
    <row r="20" spans="1:12" x14ac:dyDescent="0.2">
      <c r="A20" s="68"/>
      <c r="B20" s="98"/>
      <c r="C20" s="69" t="s">
        <v>70</v>
      </c>
      <c r="D20" s="68" t="s">
        <v>92</v>
      </c>
      <c r="E20" s="68"/>
      <c r="F20" s="68"/>
      <c r="G20" s="68"/>
      <c r="H20" s="68"/>
      <c r="I20" s="68"/>
      <c r="J20" s="68"/>
      <c r="K20" s="68"/>
      <c r="L20" s="60"/>
    </row>
    <row r="21" spans="1:12" x14ac:dyDescent="0.2">
      <c r="A21" s="68"/>
      <c r="B21" s="98"/>
      <c r="C21" s="68"/>
      <c r="D21" s="68"/>
      <c r="E21" s="68"/>
      <c r="F21" s="68"/>
      <c r="G21" s="68"/>
      <c r="H21" s="68"/>
      <c r="I21" s="68"/>
      <c r="J21" s="68"/>
      <c r="K21" s="68"/>
      <c r="L21" s="60"/>
    </row>
    <row r="22" spans="1:12" x14ac:dyDescent="0.2">
      <c r="A22" s="68"/>
      <c r="B22" s="98"/>
      <c r="C22" s="68" t="s">
        <v>93</v>
      </c>
      <c r="D22" s="68" t="s">
        <v>74</v>
      </c>
      <c r="E22" s="68"/>
      <c r="F22" s="68">
        <f>I22-H22</f>
        <v>106.78327999999999</v>
      </c>
      <c r="G22" s="68">
        <v>3.89</v>
      </c>
      <c r="H22" s="68">
        <v>533.89</v>
      </c>
      <c r="I22" s="68">
        <f>59.52*10.764</f>
        <v>640.67327999999998</v>
      </c>
      <c r="J22" s="68">
        <f>I22/10.764</f>
        <v>59.52</v>
      </c>
      <c r="K22" s="68"/>
      <c r="L22" s="60"/>
    </row>
    <row r="23" spans="1:12" x14ac:dyDescent="0.2">
      <c r="A23" s="68"/>
      <c r="B23" s="98"/>
      <c r="C23" s="68"/>
      <c r="D23" s="68" t="s">
        <v>94</v>
      </c>
      <c r="E23" s="68"/>
      <c r="F23" s="68"/>
      <c r="G23" s="70"/>
      <c r="H23" s="70"/>
      <c r="I23" s="68"/>
      <c r="J23" s="68"/>
      <c r="K23" s="68"/>
      <c r="L23" s="60"/>
    </row>
    <row r="24" spans="1:12" x14ac:dyDescent="0.2">
      <c r="A24" s="68"/>
      <c r="B24" s="98"/>
      <c r="C24" s="68"/>
      <c r="D24" s="68" t="s">
        <v>95</v>
      </c>
      <c r="E24" s="68"/>
      <c r="F24" s="68"/>
      <c r="G24" s="70"/>
      <c r="H24" s="70"/>
      <c r="I24" s="68"/>
      <c r="J24" s="68"/>
      <c r="K24" s="68"/>
      <c r="L24" s="60"/>
    </row>
    <row r="25" spans="1:12" x14ac:dyDescent="0.2">
      <c r="A25" s="68"/>
      <c r="B25" s="99"/>
      <c r="C25" s="68"/>
      <c r="D25" s="68"/>
      <c r="E25" s="68"/>
      <c r="F25" s="68"/>
      <c r="G25" s="70" t="s">
        <v>89</v>
      </c>
      <c r="H25" s="70">
        <f>H22+H19</f>
        <v>1611.92</v>
      </c>
      <c r="I25" s="70">
        <f>I22+I19</f>
        <v>1934.2908</v>
      </c>
      <c r="J25" s="68"/>
      <c r="K25" s="68"/>
      <c r="L25" s="60"/>
    </row>
    <row r="26" spans="1:12" s="82" customFormat="1" ht="19.5" customHeight="1" x14ac:dyDescent="0.2">
      <c r="A26" s="71">
        <v>3</v>
      </c>
      <c r="B26" s="100" t="s">
        <v>96</v>
      </c>
      <c r="C26" s="72" t="s">
        <v>76</v>
      </c>
      <c r="D26" s="71" t="s">
        <v>77</v>
      </c>
      <c r="E26" s="71"/>
      <c r="F26" s="71">
        <v>1064.1500000000001</v>
      </c>
      <c r="G26" s="71">
        <v>13.88</v>
      </c>
      <c r="H26" s="71">
        <f>G26+F26+E26</f>
        <v>1078.0300000000002</v>
      </c>
      <c r="I26" s="71">
        <f t="shared" ref="I26" si="1">120.18*10.764</f>
        <v>1293.61752</v>
      </c>
      <c r="J26" s="71">
        <f t="shared" ref="J26" si="2">I26/10.764</f>
        <v>120.18</v>
      </c>
      <c r="K26" s="83">
        <v>364560</v>
      </c>
      <c r="L26" s="83">
        <f>K26*J26</f>
        <v>43812820.800000004</v>
      </c>
    </row>
    <row r="27" spans="1:12" s="82" customFormat="1" x14ac:dyDescent="0.2">
      <c r="A27" s="71"/>
      <c r="B27" s="101"/>
      <c r="C27" s="71"/>
      <c r="D27" s="71" t="s">
        <v>97</v>
      </c>
      <c r="E27" s="71"/>
      <c r="F27" s="71"/>
      <c r="G27" s="71"/>
      <c r="H27" s="71"/>
      <c r="I27" s="71"/>
      <c r="J27" s="71"/>
      <c r="K27" s="83"/>
      <c r="L27" s="83"/>
    </row>
    <row r="28" spans="1:12" s="82" customFormat="1" x14ac:dyDescent="0.2">
      <c r="A28" s="71"/>
      <c r="B28" s="101"/>
      <c r="C28" s="71"/>
      <c r="D28" s="71" t="s">
        <v>98</v>
      </c>
      <c r="E28" s="71"/>
      <c r="F28" s="71"/>
      <c r="G28" s="71"/>
      <c r="H28" s="71"/>
      <c r="I28" s="71"/>
      <c r="J28" s="71"/>
      <c r="K28" s="83"/>
      <c r="L28" s="83"/>
    </row>
    <row r="29" spans="1:12" s="82" customFormat="1" x14ac:dyDescent="0.2">
      <c r="A29" s="71"/>
      <c r="B29" s="101"/>
      <c r="C29" s="72" t="s">
        <v>79</v>
      </c>
      <c r="D29" s="71" t="s">
        <v>80</v>
      </c>
      <c r="E29" s="71"/>
      <c r="F29" s="71">
        <f>I29-H29</f>
        <v>106.78327999999999</v>
      </c>
      <c r="G29" s="71">
        <v>3.89</v>
      </c>
      <c r="H29" s="71">
        <v>533.89</v>
      </c>
      <c r="I29" s="71">
        <f>59.52*10.764</f>
        <v>640.67327999999998</v>
      </c>
      <c r="J29" s="71">
        <f>I29/10.764</f>
        <v>59.52</v>
      </c>
      <c r="K29" s="83">
        <v>364560</v>
      </c>
      <c r="L29" s="83">
        <f>K29*J29</f>
        <v>21698611.200000003</v>
      </c>
    </row>
    <row r="30" spans="1:12" s="82" customFormat="1" x14ac:dyDescent="0.2">
      <c r="A30" s="71"/>
      <c r="B30" s="101"/>
      <c r="C30" s="71"/>
      <c r="D30" s="71" t="s">
        <v>99</v>
      </c>
      <c r="E30" s="71"/>
      <c r="F30" s="71"/>
      <c r="G30" s="73"/>
      <c r="H30" s="73"/>
      <c r="I30" s="71"/>
      <c r="J30" s="71"/>
      <c r="K30" s="84"/>
      <c r="L30" s="83"/>
    </row>
    <row r="31" spans="1:12" s="82" customFormat="1" x14ac:dyDescent="0.2">
      <c r="A31" s="71"/>
      <c r="B31" s="101"/>
      <c r="C31" s="71"/>
      <c r="D31" s="71"/>
      <c r="E31" s="71"/>
      <c r="F31" s="71"/>
      <c r="G31" s="71"/>
      <c r="H31" s="71"/>
      <c r="I31" s="71"/>
      <c r="J31" s="71"/>
      <c r="K31" s="71"/>
      <c r="L31" s="71"/>
    </row>
    <row r="32" spans="1:12" s="82" customFormat="1" x14ac:dyDescent="0.2">
      <c r="A32" s="71"/>
      <c r="B32" s="102"/>
      <c r="C32" s="71"/>
      <c r="D32" s="71"/>
      <c r="E32" s="71"/>
      <c r="F32" s="71"/>
      <c r="G32" s="73" t="s">
        <v>89</v>
      </c>
      <c r="H32" s="73">
        <f>H26+H29</f>
        <v>1611.92</v>
      </c>
      <c r="I32" s="73">
        <f>I26+I29</f>
        <v>1934.2908</v>
      </c>
      <c r="J32" s="71"/>
      <c r="K32" s="71"/>
      <c r="L32" s="85">
        <f>SUM(L26:L31)</f>
        <v>65511432.000000007</v>
      </c>
    </row>
    <row r="33" spans="1:12" hidden="1" x14ac:dyDescent="0.2">
      <c r="A33" s="60">
        <v>15</v>
      </c>
      <c r="B33" s="60"/>
      <c r="C33" s="71"/>
      <c r="D33" s="71"/>
      <c r="E33" s="71"/>
      <c r="F33" s="71"/>
      <c r="G33" s="71"/>
      <c r="H33" s="71"/>
      <c r="I33" s="71"/>
      <c r="J33" s="71"/>
      <c r="K33" s="71"/>
      <c r="L33" s="60"/>
    </row>
    <row r="34" spans="1:12" x14ac:dyDescent="0.2">
      <c r="A34" s="60"/>
      <c r="B34" s="60"/>
      <c r="C34" s="74"/>
      <c r="D34" s="74"/>
      <c r="E34" s="74"/>
      <c r="F34" s="74"/>
      <c r="G34" s="74"/>
      <c r="H34" s="74"/>
      <c r="I34" s="74"/>
      <c r="J34" s="74"/>
      <c r="K34" s="74"/>
      <c r="L34" s="60"/>
    </row>
    <row r="35" spans="1:12" x14ac:dyDescent="0.2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</row>
    <row r="36" spans="1:12" x14ac:dyDescent="0.2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</row>
    <row r="43" spans="1:12" x14ac:dyDescent="0.2">
      <c r="H43" s="75"/>
    </row>
  </sheetData>
  <mergeCells count="8">
    <mergeCell ref="B13:B18"/>
    <mergeCell ref="B19:B25"/>
    <mergeCell ref="B26:B32"/>
    <mergeCell ref="D3:E3"/>
    <mergeCell ref="D7:E7"/>
    <mergeCell ref="D8:E8"/>
    <mergeCell ref="D9:E9"/>
    <mergeCell ref="D12:E1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A6145-AE46-4503-AD51-2E7DBDAE56E4}">
  <dimension ref="D5:L10"/>
  <sheetViews>
    <sheetView zoomScale="145" zoomScaleNormal="145" workbookViewId="0">
      <selection activeCell="J9" sqref="J9"/>
    </sheetView>
  </sheetViews>
  <sheetFormatPr defaultRowHeight="15" x14ac:dyDescent="0.25"/>
  <cols>
    <col min="4" max="4" width="14.42578125" customWidth="1"/>
  </cols>
  <sheetData>
    <row r="5" spans="4:12" x14ac:dyDescent="0.25">
      <c r="D5" t="s">
        <v>77</v>
      </c>
      <c r="I5" t="s">
        <v>80</v>
      </c>
    </row>
    <row r="6" spans="4:12" x14ac:dyDescent="0.25">
      <c r="D6" t="s">
        <v>120</v>
      </c>
      <c r="E6">
        <v>1621</v>
      </c>
    </row>
    <row r="7" spans="4:12" x14ac:dyDescent="0.25">
      <c r="D7" t="s">
        <v>118</v>
      </c>
      <c r="E7">
        <v>1610</v>
      </c>
    </row>
    <row r="8" spans="4:12" x14ac:dyDescent="0.25">
      <c r="D8" t="s">
        <v>121</v>
      </c>
      <c r="E8">
        <v>1078</v>
      </c>
      <c r="F8">
        <f>100.15*10.764</f>
        <v>1078.0146</v>
      </c>
      <c r="I8" t="s">
        <v>121</v>
      </c>
      <c r="J8">
        <v>534</v>
      </c>
    </row>
    <row r="9" spans="4:12" x14ac:dyDescent="0.25">
      <c r="D9" t="s">
        <v>119</v>
      </c>
      <c r="E9">
        <v>1294</v>
      </c>
      <c r="F9">
        <f>120.18*10.764</f>
        <v>1293.61752</v>
      </c>
      <c r="G9">
        <f>F9/F8</f>
        <v>1.2</v>
      </c>
      <c r="I9" t="s">
        <v>119</v>
      </c>
      <c r="J9">
        <v>641</v>
      </c>
      <c r="K9">
        <f>59.52*10.764</f>
        <v>640.67327999999998</v>
      </c>
      <c r="L9">
        <f>K9/J8</f>
        <v>1.1997626966292134</v>
      </c>
    </row>
    <row r="10" spans="4:12" x14ac:dyDescent="0.25">
      <c r="D10" t="s">
        <v>116</v>
      </c>
      <c r="E10" t="s">
        <v>117</v>
      </c>
      <c r="I10" t="s">
        <v>116</v>
      </c>
      <c r="J10" t="s">
        <v>117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95078-C1AA-42DE-90B8-317E38999E14}">
  <dimension ref="A1:V47"/>
  <sheetViews>
    <sheetView workbookViewId="0">
      <selection activeCell="H32" sqref="H32"/>
    </sheetView>
  </sheetViews>
  <sheetFormatPr defaultRowHeight="15" x14ac:dyDescent="0.25"/>
  <cols>
    <col min="1" max="1" width="26.85546875" customWidth="1"/>
    <col min="2" max="2" width="19.28515625" customWidth="1"/>
    <col min="3" max="4" width="22.5703125" customWidth="1"/>
    <col min="5" max="5" width="18.5703125" customWidth="1"/>
    <col min="6" max="6" width="16.140625" customWidth="1"/>
    <col min="7" max="7" width="17.140625" customWidth="1"/>
    <col min="8" max="8" width="18" customWidth="1"/>
    <col min="9" max="9" width="17.140625" customWidth="1"/>
    <col min="10" max="10" width="13.42578125" customWidth="1"/>
    <col min="11" max="11" width="12.7109375" customWidth="1"/>
    <col min="12" max="12" width="19.85546875" customWidth="1"/>
  </cols>
  <sheetData>
    <row r="1" spans="1:13" ht="26.25" x14ac:dyDescent="0.4">
      <c r="A1" s="86" t="s">
        <v>47</v>
      </c>
      <c r="B1" s="86"/>
      <c r="C1" s="86"/>
      <c r="D1" s="52" t="s">
        <v>49</v>
      </c>
    </row>
    <row r="2" spans="1:13" ht="15" customHeight="1" x14ac:dyDescent="0.25">
      <c r="A2" s="87" t="s">
        <v>9</v>
      </c>
      <c r="B2" s="87"/>
      <c r="C2" s="23">
        <v>2001</v>
      </c>
      <c r="D2" s="23">
        <v>2001</v>
      </c>
      <c r="F2" t="s">
        <v>34</v>
      </c>
    </row>
    <row r="3" spans="1:13" x14ac:dyDescent="0.25">
      <c r="A3" s="24"/>
      <c r="B3" s="24"/>
      <c r="C3" s="24"/>
      <c r="D3" s="24"/>
      <c r="F3" t="s">
        <v>31</v>
      </c>
      <c r="G3">
        <f>ROUND(G2*1.2,2)</f>
        <v>0</v>
      </c>
      <c r="H3" t="e">
        <f>G3/G2</f>
        <v>#DIV/0!</v>
      </c>
      <c r="M3" s="3"/>
    </row>
    <row r="4" spans="1:13" x14ac:dyDescent="0.25">
      <c r="A4" s="24" t="s">
        <v>10</v>
      </c>
      <c r="B4" s="24"/>
      <c r="C4" s="24">
        <v>2001</v>
      </c>
      <c r="D4" s="24">
        <v>2001</v>
      </c>
      <c r="H4" s="91" t="s">
        <v>14</v>
      </c>
      <c r="I4" s="92"/>
      <c r="L4" s="90"/>
      <c r="M4" s="90"/>
    </row>
    <row r="5" spans="1:13" x14ac:dyDescent="0.25">
      <c r="A5" s="24" t="s">
        <v>0</v>
      </c>
      <c r="B5" s="24"/>
      <c r="C5" s="24">
        <v>1981</v>
      </c>
      <c r="D5" s="24">
        <v>1981</v>
      </c>
      <c r="E5" t="s">
        <v>39</v>
      </c>
      <c r="H5" s="14" t="s">
        <v>26</v>
      </c>
      <c r="I5" s="15">
        <v>44</v>
      </c>
      <c r="K5" s="10"/>
    </row>
    <row r="6" spans="1:13" x14ac:dyDescent="0.25">
      <c r="A6" s="24" t="s">
        <v>1</v>
      </c>
      <c r="B6" s="25"/>
      <c r="C6" s="24">
        <f>C4-C5</f>
        <v>20</v>
      </c>
      <c r="D6" s="24">
        <f>D4-D5</f>
        <v>20</v>
      </c>
      <c r="E6">
        <f>70-C6</f>
        <v>50</v>
      </c>
      <c r="H6" s="14" t="s">
        <v>27</v>
      </c>
      <c r="I6" s="17">
        <v>14</v>
      </c>
    </row>
    <row r="7" spans="1:13" x14ac:dyDescent="0.25">
      <c r="A7" s="88" t="s">
        <v>15</v>
      </c>
      <c r="B7" s="25" t="s">
        <v>11</v>
      </c>
      <c r="C7" s="25" t="s">
        <v>12</v>
      </c>
      <c r="D7" s="25" t="s">
        <v>12</v>
      </c>
      <c r="E7" s="51" t="s">
        <v>48</v>
      </c>
      <c r="H7" s="14" t="s">
        <v>28</v>
      </c>
      <c r="I7" s="16">
        <v>53000</v>
      </c>
      <c r="J7" s="2"/>
      <c r="K7" s="2"/>
    </row>
    <row r="8" spans="1:13" ht="15.75" customHeight="1" x14ac:dyDescent="0.25">
      <c r="A8" s="88"/>
      <c r="B8" s="25">
        <v>505</v>
      </c>
      <c r="C8" s="26">
        <f>ROUND(B8/10.764,2)</f>
        <v>46.92</v>
      </c>
      <c r="D8" s="26">
        <v>14</v>
      </c>
      <c r="F8" s="2"/>
      <c r="G8" s="1"/>
      <c r="H8" s="53" t="s">
        <v>50</v>
      </c>
      <c r="I8" s="54">
        <f>I7*25%</f>
        <v>13250</v>
      </c>
      <c r="J8" s="2"/>
    </row>
    <row r="9" spans="1:13" ht="33.75" customHeight="1" x14ac:dyDescent="0.25">
      <c r="A9" s="27"/>
      <c r="B9" s="25"/>
      <c r="C9" s="25"/>
      <c r="D9" s="25"/>
      <c r="H9" s="9" t="s">
        <v>19</v>
      </c>
      <c r="I9" s="2"/>
      <c r="L9" s="1"/>
    </row>
    <row r="10" spans="1:13" x14ac:dyDescent="0.25">
      <c r="A10" s="28" t="s">
        <v>18</v>
      </c>
      <c r="B10" s="29"/>
      <c r="C10" s="30">
        <v>5500</v>
      </c>
      <c r="D10" s="30">
        <v>5500</v>
      </c>
      <c r="E10" t="s">
        <v>23</v>
      </c>
      <c r="J10" s="2"/>
    </row>
    <row r="11" spans="1:13" x14ac:dyDescent="0.25">
      <c r="A11" s="28"/>
      <c r="B11" s="29"/>
      <c r="C11" s="29"/>
      <c r="D11" s="29"/>
      <c r="E11" t="s">
        <v>24</v>
      </c>
    </row>
    <row r="12" spans="1:13" x14ac:dyDescent="0.25">
      <c r="A12" s="29" t="s">
        <v>16</v>
      </c>
      <c r="B12" s="29"/>
      <c r="C12" s="30">
        <f>ROUND(C8*C10,0)</f>
        <v>258060</v>
      </c>
      <c r="D12" s="30">
        <f>ROUND(D8*D10,0)</f>
        <v>77000</v>
      </c>
      <c r="E12" s="2" t="s">
        <v>25</v>
      </c>
      <c r="J12" s="4"/>
      <c r="K12" s="4"/>
      <c r="L12" s="4"/>
    </row>
    <row r="13" spans="1:13" x14ac:dyDescent="0.25">
      <c r="A13" s="29"/>
      <c r="B13" s="29"/>
      <c r="C13" s="30"/>
      <c r="D13" s="30"/>
      <c r="E13" t="s">
        <v>30</v>
      </c>
      <c r="G13" s="6"/>
      <c r="H13" s="6"/>
      <c r="I13" s="6"/>
      <c r="J13" s="4"/>
      <c r="K13" s="4"/>
      <c r="L13" s="4"/>
    </row>
    <row r="14" spans="1:13" x14ac:dyDescent="0.25">
      <c r="A14" s="29" t="s">
        <v>2</v>
      </c>
      <c r="B14" s="29"/>
      <c r="C14" s="29">
        <f>100-10</f>
        <v>90</v>
      </c>
      <c r="D14" s="29">
        <f>100-10</f>
        <v>90</v>
      </c>
      <c r="G14" s="6"/>
      <c r="H14" s="6"/>
      <c r="I14" s="7"/>
      <c r="J14" s="4"/>
      <c r="K14" s="4"/>
      <c r="L14" s="4"/>
    </row>
    <row r="15" spans="1:13" x14ac:dyDescent="0.25">
      <c r="A15" s="29" t="s">
        <v>37</v>
      </c>
      <c r="B15" s="29"/>
      <c r="C15" s="31">
        <f>C14*C6/70</f>
        <v>25.714285714285715</v>
      </c>
      <c r="D15" s="31">
        <f>D14*D6/70</f>
        <v>25.714285714285715</v>
      </c>
      <c r="G15" s="6"/>
      <c r="H15" s="6"/>
      <c r="I15" s="7"/>
      <c r="J15" s="4"/>
      <c r="K15" s="4"/>
      <c r="L15" s="4"/>
    </row>
    <row r="16" spans="1:13" x14ac:dyDescent="0.25">
      <c r="A16" s="29"/>
      <c r="B16" s="29"/>
      <c r="C16" s="32">
        <v>0.2571</v>
      </c>
      <c r="D16" s="32">
        <v>0.2571</v>
      </c>
      <c r="H16" s="6"/>
      <c r="I16" s="5"/>
      <c r="J16" s="89"/>
      <c r="K16" s="89"/>
      <c r="L16" s="89"/>
    </row>
    <row r="17" spans="1:12" x14ac:dyDescent="0.25">
      <c r="A17" s="24" t="s">
        <v>3</v>
      </c>
      <c r="B17" s="24"/>
      <c r="C17" s="33">
        <f>ROUND(C12*C16,0)</f>
        <v>66347</v>
      </c>
      <c r="D17" s="33">
        <f>ROUND(D12*D16,0)</f>
        <v>19797</v>
      </c>
      <c r="E17" s="2"/>
      <c r="F17" s="2"/>
    </row>
    <row r="18" spans="1:12" x14ac:dyDescent="0.25">
      <c r="A18" s="34" t="s">
        <v>13</v>
      </c>
      <c r="B18" s="34"/>
      <c r="C18" s="34"/>
      <c r="D18" s="34"/>
      <c r="F18" s="1"/>
    </row>
    <row r="19" spans="1:12" x14ac:dyDescent="0.25">
      <c r="A19" s="35" t="s">
        <v>17</v>
      </c>
      <c r="B19" s="35"/>
      <c r="C19" s="36">
        <f>I7</f>
        <v>53000</v>
      </c>
      <c r="D19" s="36">
        <f>C19*25%</f>
        <v>13250</v>
      </c>
    </row>
    <row r="20" spans="1:12" x14ac:dyDescent="0.25">
      <c r="A20" s="37"/>
      <c r="B20" s="37"/>
      <c r="C20" s="37"/>
      <c r="D20" s="37"/>
    </row>
    <row r="21" spans="1:12" x14ac:dyDescent="0.25">
      <c r="A21" s="38" t="s">
        <v>20</v>
      </c>
      <c r="B21" s="38"/>
      <c r="C21" s="39">
        <f>ROUND(C19*C8,0)</f>
        <v>2486760</v>
      </c>
      <c r="D21" s="39">
        <f>ROUND(D19*D8,0)</f>
        <v>185500</v>
      </c>
    </row>
    <row r="22" spans="1:12" x14ac:dyDescent="0.25">
      <c r="A22" s="40"/>
      <c r="B22" s="40"/>
      <c r="C22" s="41"/>
      <c r="D22" s="41"/>
      <c r="F22" t="s">
        <v>21</v>
      </c>
      <c r="G22" t="s">
        <v>22</v>
      </c>
    </row>
    <row r="23" spans="1:12" s="19" customFormat="1" x14ac:dyDescent="0.25">
      <c r="A23" s="42" t="s">
        <v>38</v>
      </c>
      <c r="B23" s="42"/>
      <c r="C23" s="43">
        <f>C21-C17</f>
        <v>2420413</v>
      </c>
      <c r="D23" s="43">
        <f>D21-D17</f>
        <v>165703</v>
      </c>
      <c r="F23" s="20">
        <f>C24</f>
        <v>2586116</v>
      </c>
      <c r="G23" s="20">
        <f>C23</f>
        <v>2420413</v>
      </c>
      <c r="H23" s="21"/>
    </row>
    <row r="24" spans="1:12" x14ac:dyDescent="0.25">
      <c r="A24" s="55" t="s">
        <v>51</v>
      </c>
      <c r="B24" s="55"/>
      <c r="C24" s="56">
        <f>C23+D23</f>
        <v>2586116</v>
      </c>
      <c r="D24" s="40"/>
      <c r="E24" t="s">
        <v>35</v>
      </c>
      <c r="F24" s="2">
        <v>1000000</v>
      </c>
      <c r="G24" s="12">
        <f>ROUND(G23*1%,0)</f>
        <v>24204</v>
      </c>
      <c r="H24" s="2"/>
    </row>
    <row r="25" spans="1:12" x14ac:dyDescent="0.25">
      <c r="A25" s="29" t="s">
        <v>4</v>
      </c>
      <c r="B25" s="29"/>
      <c r="C25" s="44">
        <f>F28</f>
        <v>165639</v>
      </c>
      <c r="D25" s="44">
        <f>G28</f>
        <v>0</v>
      </c>
      <c r="F25" s="2">
        <f>ROUND(F23-F24,500)</f>
        <v>1586116</v>
      </c>
      <c r="G25">
        <v>20000</v>
      </c>
      <c r="H25" t="s">
        <v>29</v>
      </c>
    </row>
    <row r="26" spans="1:12" x14ac:dyDescent="0.25">
      <c r="A26" s="29" t="s">
        <v>5</v>
      </c>
      <c r="B26" s="29"/>
      <c r="C26" s="44">
        <f>G25</f>
        <v>20000</v>
      </c>
      <c r="D26" s="44" t="s">
        <v>52</v>
      </c>
      <c r="E26" t="s">
        <v>36</v>
      </c>
      <c r="F26" s="2">
        <f>ROUND(F25*8%,0)</f>
        <v>126889</v>
      </c>
      <c r="H26" s="1"/>
      <c r="L26" s="1"/>
    </row>
    <row r="27" spans="1:12" x14ac:dyDescent="0.25">
      <c r="A27" s="29"/>
      <c r="B27" s="29"/>
      <c r="C27" s="29"/>
      <c r="D27" s="29"/>
      <c r="F27" s="1">
        <v>38750</v>
      </c>
      <c r="K27" s="8"/>
      <c r="L27" s="8"/>
    </row>
    <row r="28" spans="1:12" x14ac:dyDescent="0.25">
      <c r="A28" s="45" t="s">
        <v>6</v>
      </c>
      <c r="B28" s="45"/>
      <c r="C28" s="46">
        <f>C26+C25+C24</f>
        <v>2771755</v>
      </c>
      <c r="D28" s="46" t="e">
        <f>ROUND(D26+D25+D23,0)</f>
        <v>#VALUE!</v>
      </c>
      <c r="F28" s="11">
        <f>ROUND(F26+F27,0)</f>
        <v>165639</v>
      </c>
      <c r="K28" s="8"/>
    </row>
    <row r="29" spans="1:12" x14ac:dyDescent="0.25">
      <c r="A29" s="29" t="s">
        <v>7</v>
      </c>
      <c r="B29" s="29"/>
      <c r="C29" s="30">
        <v>0</v>
      </c>
      <c r="D29" s="30">
        <v>0</v>
      </c>
      <c r="F29" s="2"/>
      <c r="K29" s="8"/>
    </row>
    <row r="30" spans="1:12" x14ac:dyDescent="0.25">
      <c r="A30" s="29" t="s">
        <v>32</v>
      </c>
      <c r="B30" s="29"/>
      <c r="C30" s="30">
        <v>100</v>
      </c>
      <c r="D30" s="30"/>
      <c r="F30" s="2"/>
      <c r="K30" s="8"/>
    </row>
    <row r="31" spans="1:12" x14ac:dyDescent="0.25">
      <c r="A31" s="29" t="s">
        <v>33</v>
      </c>
      <c r="B31" s="29"/>
      <c r="C31" s="30">
        <v>348</v>
      </c>
      <c r="D31" s="30"/>
      <c r="F31" s="2"/>
      <c r="K31" s="8"/>
    </row>
    <row r="32" spans="1:12" x14ac:dyDescent="0.25">
      <c r="A32" s="29" t="s">
        <v>8</v>
      </c>
      <c r="B32" s="29"/>
      <c r="C32" s="30">
        <f>C28*C31/C30</f>
        <v>9645707.4000000004</v>
      </c>
      <c r="D32" s="30"/>
      <c r="F32" s="2"/>
      <c r="K32" s="2"/>
    </row>
    <row r="33" spans="1:22" x14ac:dyDescent="0.25">
      <c r="A33" s="28" t="s">
        <v>8</v>
      </c>
      <c r="B33" s="45"/>
      <c r="C33" s="46">
        <f>ROUND(C32,0)</f>
        <v>9645707</v>
      </c>
      <c r="D33" s="46">
        <f>ROUND(D32,0)</f>
        <v>0</v>
      </c>
    </row>
    <row r="34" spans="1:22" x14ac:dyDescent="0.25">
      <c r="V34">
        <f>32.91+37.7</f>
        <v>70.61</v>
      </c>
    </row>
    <row r="35" spans="1:22" ht="15.75" thickBot="1" x14ac:dyDescent="0.3"/>
    <row r="36" spans="1:22" ht="50.25" thickBot="1" x14ac:dyDescent="0.3">
      <c r="A36" s="47" t="s">
        <v>40</v>
      </c>
      <c r="B36" s="48" t="s">
        <v>41</v>
      </c>
      <c r="C36" s="48" t="s">
        <v>42</v>
      </c>
      <c r="D36" s="48"/>
      <c r="E36" s="48" t="s">
        <v>43</v>
      </c>
      <c r="F36" s="48" t="s">
        <v>44</v>
      </c>
      <c r="G36" s="48" t="s">
        <v>8</v>
      </c>
    </row>
    <row r="37" spans="1:22" ht="15.75" thickBot="1" x14ac:dyDescent="0.3">
      <c r="A37" s="49" t="s">
        <v>45</v>
      </c>
      <c r="B37" s="49">
        <v>2001</v>
      </c>
      <c r="C37" s="49">
        <f>C28</f>
        <v>2771755</v>
      </c>
      <c r="D37" s="49"/>
      <c r="E37" s="49">
        <v>100</v>
      </c>
      <c r="F37" s="49">
        <v>348</v>
      </c>
      <c r="G37" s="49">
        <f>ROUND(F37/E37*C37,0)</f>
        <v>9645707</v>
      </c>
    </row>
    <row r="38" spans="1:22" ht="15.75" thickBot="1" x14ac:dyDescent="0.3">
      <c r="A38" s="49"/>
      <c r="B38" s="49"/>
      <c r="C38" s="49"/>
      <c r="D38" s="49"/>
      <c r="E38" s="49"/>
      <c r="F38" s="49"/>
      <c r="G38" s="49"/>
    </row>
    <row r="39" spans="1:22" ht="15.75" thickBot="1" x14ac:dyDescent="0.3">
      <c r="A39" s="49"/>
      <c r="B39" s="49"/>
      <c r="C39" s="49"/>
      <c r="D39" s="49"/>
      <c r="E39" s="49"/>
      <c r="F39" s="49"/>
      <c r="G39" s="49"/>
    </row>
    <row r="40" spans="1:22" ht="15.75" thickBot="1" x14ac:dyDescent="0.3">
      <c r="A40" s="49"/>
      <c r="B40" s="49"/>
      <c r="C40" s="49"/>
      <c r="D40" s="49"/>
      <c r="E40" s="49"/>
      <c r="F40" s="49"/>
      <c r="G40" s="50">
        <f>SUM(G37:G39)</f>
        <v>9645707</v>
      </c>
    </row>
    <row r="41" spans="1:22" ht="15.75" thickBot="1" x14ac:dyDescent="0.3">
      <c r="A41" s="49"/>
      <c r="B41" s="49"/>
      <c r="C41" s="49"/>
      <c r="D41" s="49"/>
      <c r="E41" s="49"/>
      <c r="F41" s="49"/>
      <c r="G41" s="49"/>
    </row>
    <row r="47" spans="1:22" x14ac:dyDescent="0.25">
      <c r="H47" t="s">
        <v>46</v>
      </c>
    </row>
  </sheetData>
  <mergeCells count="6">
    <mergeCell ref="J16:L16"/>
    <mergeCell ref="A1:C1"/>
    <mergeCell ref="A2:B2"/>
    <mergeCell ref="H4:I4"/>
    <mergeCell ref="L4:M4"/>
    <mergeCell ref="A7:A8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62F94-A390-4454-81ED-643268EB4CFA}">
  <dimension ref="A1:U47"/>
  <sheetViews>
    <sheetView workbookViewId="0">
      <selection activeCell="C27" sqref="C27"/>
    </sheetView>
  </sheetViews>
  <sheetFormatPr defaultRowHeight="15" x14ac:dyDescent="0.25"/>
  <cols>
    <col min="1" max="1" width="26.8554687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86" t="s">
        <v>47</v>
      </c>
      <c r="B1" s="86"/>
      <c r="C1" s="86"/>
    </row>
    <row r="2" spans="1:12" ht="15" customHeight="1" x14ac:dyDescent="0.25">
      <c r="A2" s="87" t="s">
        <v>9</v>
      </c>
      <c r="B2" s="87"/>
      <c r="C2" s="23">
        <v>2001</v>
      </c>
      <c r="E2" t="s">
        <v>34</v>
      </c>
    </row>
    <row r="3" spans="1:12" x14ac:dyDescent="0.25">
      <c r="A3" s="24"/>
      <c r="B3" s="24"/>
      <c r="C3" s="24"/>
      <c r="E3" t="s">
        <v>31</v>
      </c>
      <c r="F3">
        <f>ROUND(F2*1.2,2)</f>
        <v>0</v>
      </c>
      <c r="G3" t="e">
        <f>F3/F2</f>
        <v>#DIV/0!</v>
      </c>
      <c r="L3" s="3"/>
    </row>
    <row r="4" spans="1:12" x14ac:dyDescent="0.25">
      <c r="A4" s="24" t="s">
        <v>10</v>
      </c>
      <c r="B4" s="24"/>
      <c r="C4" s="24">
        <v>2001</v>
      </c>
      <c r="G4" s="91" t="s">
        <v>14</v>
      </c>
      <c r="H4" s="92"/>
      <c r="K4" s="90"/>
      <c r="L4" s="90"/>
    </row>
    <row r="5" spans="1:12" x14ac:dyDescent="0.25">
      <c r="A5" s="24" t="s">
        <v>0</v>
      </c>
      <c r="B5" s="24"/>
      <c r="C5" s="24">
        <v>1981</v>
      </c>
      <c r="D5" t="s">
        <v>39</v>
      </c>
      <c r="G5" s="14" t="s">
        <v>26</v>
      </c>
      <c r="H5" s="15">
        <v>44</v>
      </c>
      <c r="J5" s="10"/>
    </row>
    <row r="6" spans="1:12" x14ac:dyDescent="0.25">
      <c r="A6" s="24" t="s">
        <v>1</v>
      </c>
      <c r="B6" s="25"/>
      <c r="C6" s="24">
        <f>C4-C5</f>
        <v>20</v>
      </c>
      <c r="D6">
        <f>70-C6</f>
        <v>50</v>
      </c>
      <c r="G6" s="14" t="s">
        <v>27</v>
      </c>
      <c r="H6" s="17">
        <v>14</v>
      </c>
    </row>
    <row r="7" spans="1:12" x14ac:dyDescent="0.25">
      <c r="A7" s="88" t="s">
        <v>15</v>
      </c>
      <c r="B7" s="25" t="s">
        <v>11</v>
      </c>
      <c r="C7" s="25" t="s">
        <v>12</v>
      </c>
      <c r="G7" s="14" t="s">
        <v>28</v>
      </c>
      <c r="H7" s="16">
        <v>53000</v>
      </c>
      <c r="I7" s="2"/>
      <c r="J7" s="2"/>
    </row>
    <row r="8" spans="1:12" ht="15.75" customHeight="1" x14ac:dyDescent="0.25">
      <c r="A8" s="88"/>
      <c r="B8" s="25">
        <v>1035</v>
      </c>
      <c r="C8" s="26">
        <f>ROUND(B8/10.764,2)</f>
        <v>96.15</v>
      </c>
      <c r="F8" s="1"/>
      <c r="G8" s="13"/>
      <c r="H8" s="2"/>
      <c r="I8" s="2"/>
    </row>
    <row r="9" spans="1:12" ht="33.75" customHeight="1" x14ac:dyDescent="0.25">
      <c r="A9" s="27"/>
      <c r="B9" s="25"/>
      <c r="C9" s="25"/>
      <c r="G9" s="9" t="s">
        <v>19</v>
      </c>
      <c r="H9" s="2"/>
      <c r="K9" s="1"/>
    </row>
    <row r="10" spans="1:12" x14ac:dyDescent="0.25">
      <c r="A10" s="28" t="s">
        <v>18</v>
      </c>
      <c r="B10" s="29"/>
      <c r="C10" s="30">
        <v>5500</v>
      </c>
      <c r="D10" t="s">
        <v>23</v>
      </c>
      <c r="I10" s="2"/>
    </row>
    <row r="11" spans="1:12" x14ac:dyDescent="0.25">
      <c r="A11" s="28"/>
      <c r="B11" s="29"/>
      <c r="C11" s="29"/>
      <c r="D11" t="s">
        <v>24</v>
      </c>
    </row>
    <row r="12" spans="1:12" x14ac:dyDescent="0.25">
      <c r="A12" s="29" t="s">
        <v>16</v>
      </c>
      <c r="B12" s="29"/>
      <c r="C12" s="30">
        <f>ROUND(C8*C10,0)</f>
        <v>528825</v>
      </c>
      <c r="D12" s="2" t="s">
        <v>25</v>
      </c>
      <c r="I12" s="4"/>
      <c r="J12" s="4"/>
      <c r="K12" s="4"/>
    </row>
    <row r="13" spans="1:12" x14ac:dyDescent="0.25">
      <c r="A13" s="29"/>
      <c r="B13" s="29"/>
      <c r="C13" s="30"/>
      <c r="D13" t="s">
        <v>30</v>
      </c>
      <c r="F13" s="6"/>
      <c r="G13" s="6"/>
      <c r="H13" s="6"/>
      <c r="I13" s="4"/>
      <c r="J13" s="4"/>
      <c r="K13" s="4"/>
    </row>
    <row r="14" spans="1:12" x14ac:dyDescent="0.25">
      <c r="A14" s="29" t="s">
        <v>2</v>
      </c>
      <c r="B14" s="29"/>
      <c r="C14" s="29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29" t="s">
        <v>37</v>
      </c>
      <c r="B15" s="29"/>
      <c r="C15" s="31">
        <f>C14*C6/70</f>
        <v>25.714285714285715</v>
      </c>
      <c r="F15" s="6"/>
      <c r="G15" s="6"/>
      <c r="H15" s="7"/>
      <c r="I15" s="4"/>
      <c r="J15" s="4"/>
      <c r="K15" s="4"/>
    </row>
    <row r="16" spans="1:12" x14ac:dyDescent="0.25">
      <c r="A16" s="29"/>
      <c r="B16" s="29"/>
      <c r="C16" s="32">
        <v>0.2571</v>
      </c>
      <c r="G16" s="6"/>
      <c r="H16" s="5"/>
      <c r="I16" s="89"/>
      <c r="J16" s="89"/>
      <c r="K16" s="89"/>
    </row>
    <row r="17" spans="1:11" x14ac:dyDescent="0.25">
      <c r="A17" s="24" t="s">
        <v>3</v>
      </c>
      <c r="B17" s="24"/>
      <c r="C17" s="33">
        <f>ROUND(C12*C16,0)</f>
        <v>135961</v>
      </c>
      <c r="D17" s="2"/>
      <c r="E17" s="2"/>
    </row>
    <row r="18" spans="1:11" x14ac:dyDescent="0.25">
      <c r="A18" s="34" t="s">
        <v>13</v>
      </c>
      <c r="B18" s="34"/>
      <c r="C18" s="34"/>
      <c r="E18" s="1"/>
    </row>
    <row r="19" spans="1:11" x14ac:dyDescent="0.25">
      <c r="A19" s="35" t="s">
        <v>17</v>
      </c>
      <c r="B19" s="35"/>
      <c r="C19" s="36">
        <f>H7</f>
        <v>53000</v>
      </c>
    </row>
    <row r="20" spans="1:11" x14ac:dyDescent="0.25">
      <c r="A20" s="37"/>
      <c r="B20" s="37"/>
      <c r="C20" s="37"/>
    </row>
    <row r="21" spans="1:11" x14ac:dyDescent="0.25">
      <c r="A21" s="38" t="s">
        <v>20</v>
      </c>
      <c r="B21" s="38"/>
      <c r="C21" s="39">
        <f>ROUND(C19*C8,0)</f>
        <v>5095950</v>
      </c>
    </row>
    <row r="22" spans="1:11" x14ac:dyDescent="0.25">
      <c r="A22" s="40"/>
      <c r="B22" s="40"/>
      <c r="C22" s="41"/>
      <c r="E22" t="s">
        <v>21</v>
      </c>
      <c r="F22" t="s">
        <v>22</v>
      </c>
    </row>
    <row r="23" spans="1:11" s="19" customFormat="1" x14ac:dyDescent="0.25">
      <c r="A23" s="42" t="s">
        <v>38</v>
      </c>
      <c r="B23" s="42"/>
      <c r="C23" s="43">
        <f>C21-C17</f>
        <v>4959989</v>
      </c>
      <c r="E23" s="20">
        <f>C23</f>
        <v>4959989</v>
      </c>
      <c r="F23" s="20">
        <f>C23</f>
        <v>4959989</v>
      </c>
      <c r="G23" s="21"/>
    </row>
    <row r="24" spans="1:11" x14ac:dyDescent="0.25">
      <c r="A24" s="40"/>
      <c r="B24" s="40"/>
      <c r="C24" s="40"/>
      <c r="D24" t="s">
        <v>35</v>
      </c>
      <c r="E24" s="2">
        <v>1000000</v>
      </c>
      <c r="F24" s="12">
        <f>ROUND(F23*1%,0)</f>
        <v>49600</v>
      </c>
      <c r="G24" s="2"/>
    </row>
    <row r="25" spans="1:11" x14ac:dyDescent="0.25">
      <c r="A25" s="29" t="s">
        <v>4</v>
      </c>
      <c r="B25" s="29"/>
      <c r="C25" s="44">
        <f>E28</f>
        <v>355549</v>
      </c>
      <c r="E25" s="2">
        <f>ROUND(E23-E24,500)</f>
        <v>3959989</v>
      </c>
      <c r="F25">
        <v>20000</v>
      </c>
      <c r="G25" t="s">
        <v>29</v>
      </c>
    </row>
    <row r="26" spans="1:11" x14ac:dyDescent="0.25">
      <c r="A26" s="29" t="s">
        <v>5</v>
      </c>
      <c r="B26" s="29"/>
      <c r="C26" s="44">
        <f>F25</f>
        <v>20000</v>
      </c>
      <c r="D26" t="s">
        <v>36</v>
      </c>
      <c r="E26" s="2">
        <f>ROUND(E25*8%,0)</f>
        <v>316799</v>
      </c>
      <c r="G26" s="1"/>
      <c r="K26" s="1"/>
    </row>
    <row r="27" spans="1:11" x14ac:dyDescent="0.25">
      <c r="A27" s="29"/>
      <c r="B27" s="29"/>
      <c r="C27" s="29"/>
      <c r="E27" s="1">
        <v>38750</v>
      </c>
      <c r="J27" s="8"/>
      <c r="K27" s="8"/>
    </row>
    <row r="28" spans="1:11" x14ac:dyDescent="0.25">
      <c r="A28" s="45" t="s">
        <v>6</v>
      </c>
      <c r="B28" s="45"/>
      <c r="C28" s="46">
        <f>ROUND(C26+C25+C23,0)</f>
        <v>5335538</v>
      </c>
      <c r="E28" s="11">
        <f>ROUND(E26+E27,0)</f>
        <v>355549</v>
      </c>
      <c r="J28" s="8"/>
    </row>
    <row r="29" spans="1:11" x14ac:dyDescent="0.25">
      <c r="A29" s="29" t="s">
        <v>7</v>
      </c>
      <c r="B29" s="29"/>
      <c r="C29" s="30">
        <v>0</v>
      </c>
      <c r="E29" s="2"/>
      <c r="J29" s="8"/>
    </row>
    <row r="30" spans="1:11" x14ac:dyDescent="0.25">
      <c r="A30" s="29" t="s">
        <v>32</v>
      </c>
      <c r="B30" s="29"/>
      <c r="C30" s="30">
        <v>100</v>
      </c>
      <c r="E30" s="2"/>
      <c r="J30" s="8"/>
    </row>
    <row r="31" spans="1:11" x14ac:dyDescent="0.25">
      <c r="A31" s="29" t="s">
        <v>33</v>
      </c>
      <c r="B31" s="29"/>
      <c r="C31" s="30">
        <v>348</v>
      </c>
      <c r="E31" s="2"/>
      <c r="J31" s="8"/>
    </row>
    <row r="32" spans="1:11" x14ac:dyDescent="0.25">
      <c r="A32" s="29" t="s">
        <v>8</v>
      </c>
      <c r="B32" s="29"/>
      <c r="C32" s="30">
        <f>C28*C31/C30</f>
        <v>18567672.239999998</v>
      </c>
      <c r="E32" s="2"/>
      <c r="J32" s="2"/>
    </row>
    <row r="33" spans="1:21" x14ac:dyDescent="0.25">
      <c r="A33" s="28" t="s">
        <v>8</v>
      </c>
      <c r="B33" s="45"/>
      <c r="C33" s="46">
        <f>ROUND(C32,0)</f>
        <v>18567672</v>
      </c>
    </row>
    <row r="34" spans="1:21" x14ac:dyDescent="0.25">
      <c r="U34">
        <f>32.91+37.7</f>
        <v>70.61</v>
      </c>
    </row>
    <row r="35" spans="1:21" ht="15.75" thickBot="1" x14ac:dyDescent="0.3"/>
    <row r="36" spans="1:21" ht="50.25" thickBot="1" x14ac:dyDescent="0.3">
      <c r="A36" s="47" t="s">
        <v>40</v>
      </c>
      <c r="B36" s="48" t="s">
        <v>41</v>
      </c>
      <c r="C36" s="48" t="s">
        <v>42</v>
      </c>
      <c r="D36" s="48" t="s">
        <v>43</v>
      </c>
      <c r="E36" s="48" t="s">
        <v>44</v>
      </c>
      <c r="F36" s="48" t="s">
        <v>8</v>
      </c>
    </row>
    <row r="37" spans="1:21" ht="15.75" thickBot="1" x14ac:dyDescent="0.3">
      <c r="A37" s="49" t="s">
        <v>45</v>
      </c>
      <c r="B37" s="49">
        <v>2001</v>
      </c>
      <c r="C37" s="49">
        <f>C28</f>
        <v>5335538</v>
      </c>
      <c r="D37" s="49">
        <v>100</v>
      </c>
      <c r="E37" s="49">
        <v>348</v>
      </c>
      <c r="F37" s="49">
        <f>ROUND(E37/D37*C37,0)</f>
        <v>18567672</v>
      </c>
    </row>
    <row r="38" spans="1:21" ht="15.75" thickBot="1" x14ac:dyDescent="0.3">
      <c r="A38" s="49"/>
      <c r="B38" s="49"/>
      <c r="C38" s="49"/>
      <c r="D38" s="49"/>
      <c r="E38" s="49"/>
      <c r="F38" s="49"/>
    </row>
    <row r="39" spans="1:21" ht="15.75" thickBot="1" x14ac:dyDescent="0.3">
      <c r="A39" s="49"/>
      <c r="B39" s="49"/>
      <c r="C39" s="49"/>
      <c r="D39" s="49"/>
      <c r="E39" s="49"/>
      <c r="F39" s="49"/>
    </row>
    <row r="40" spans="1:21" ht="15.75" thickBot="1" x14ac:dyDescent="0.3">
      <c r="A40" s="49"/>
      <c r="B40" s="49"/>
      <c r="C40" s="49"/>
      <c r="D40" s="49"/>
      <c r="E40" s="49"/>
      <c r="F40" s="50">
        <f>SUM(F37:F39)</f>
        <v>18567672</v>
      </c>
    </row>
    <row r="41" spans="1:21" ht="15.75" thickBot="1" x14ac:dyDescent="0.3">
      <c r="A41" s="49"/>
      <c r="B41" s="49"/>
      <c r="C41" s="49"/>
      <c r="D41" s="49"/>
      <c r="E41" s="49"/>
      <c r="F41" s="49"/>
    </row>
    <row r="47" spans="1:21" x14ac:dyDescent="0.25">
      <c r="G47" t="s">
        <v>46</v>
      </c>
    </row>
  </sheetData>
  <mergeCells count="6">
    <mergeCell ref="I16:K16"/>
    <mergeCell ref="A1:C1"/>
    <mergeCell ref="A2:B2"/>
    <mergeCell ref="G4:H4"/>
    <mergeCell ref="K4:L4"/>
    <mergeCell ref="A7:A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CF033-CC34-4764-88BF-6A9B79393D12}">
  <dimension ref="A1:U47"/>
  <sheetViews>
    <sheetView workbookViewId="0">
      <selection activeCell="E23" sqref="E23"/>
    </sheetView>
  </sheetViews>
  <sheetFormatPr defaultRowHeight="15" x14ac:dyDescent="0.25"/>
  <cols>
    <col min="1" max="1" width="26.8554687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86" t="s">
        <v>47</v>
      </c>
      <c r="B1" s="86"/>
      <c r="C1" s="86"/>
    </row>
    <row r="2" spans="1:12" ht="15" customHeight="1" x14ac:dyDescent="0.25">
      <c r="A2" s="87" t="s">
        <v>9</v>
      </c>
      <c r="B2" s="87"/>
      <c r="C2" s="23">
        <v>2001</v>
      </c>
      <c r="E2" t="s">
        <v>34</v>
      </c>
    </row>
    <row r="3" spans="1:12" x14ac:dyDescent="0.25">
      <c r="A3" s="24"/>
      <c r="B3" s="24"/>
      <c r="C3" s="24"/>
      <c r="E3" t="s">
        <v>31</v>
      </c>
      <c r="F3">
        <f>ROUND(F2*1.2,2)</f>
        <v>0</v>
      </c>
      <c r="G3" t="e">
        <f>F3/F2</f>
        <v>#DIV/0!</v>
      </c>
      <c r="L3" s="3"/>
    </row>
    <row r="4" spans="1:12" x14ac:dyDescent="0.25">
      <c r="A4" s="24" t="s">
        <v>10</v>
      </c>
      <c r="B4" s="24"/>
      <c r="C4" s="24">
        <v>2001</v>
      </c>
      <c r="G4" s="91" t="s">
        <v>14</v>
      </c>
      <c r="H4" s="92"/>
      <c r="K4" s="90"/>
      <c r="L4" s="90"/>
    </row>
    <row r="5" spans="1:12" x14ac:dyDescent="0.25">
      <c r="A5" s="24" t="s">
        <v>0</v>
      </c>
      <c r="B5" s="24"/>
      <c r="C5" s="24">
        <v>1981</v>
      </c>
      <c r="D5" t="s">
        <v>39</v>
      </c>
      <c r="G5" s="14" t="s">
        <v>26</v>
      </c>
      <c r="H5" s="15">
        <v>44</v>
      </c>
      <c r="J5" s="10"/>
    </row>
    <row r="6" spans="1:12" x14ac:dyDescent="0.25">
      <c r="A6" s="24" t="s">
        <v>1</v>
      </c>
      <c r="B6" s="25"/>
      <c r="C6" s="24">
        <f>C4-C5</f>
        <v>20</v>
      </c>
      <c r="D6">
        <f>70-C6</f>
        <v>50</v>
      </c>
      <c r="G6" s="14" t="s">
        <v>27</v>
      </c>
      <c r="H6" s="17">
        <v>14</v>
      </c>
    </row>
    <row r="7" spans="1:12" x14ac:dyDescent="0.25">
      <c r="A7" s="88" t="s">
        <v>15</v>
      </c>
      <c r="B7" s="25" t="s">
        <v>11</v>
      </c>
      <c r="C7" s="25" t="s">
        <v>12</v>
      </c>
      <c r="D7" s="51"/>
      <c r="G7" s="14" t="s">
        <v>28</v>
      </c>
      <c r="H7" s="16">
        <v>53000</v>
      </c>
      <c r="I7" s="2"/>
      <c r="J7" s="2"/>
    </row>
    <row r="8" spans="1:12" ht="15.75" customHeight="1" x14ac:dyDescent="0.25">
      <c r="A8" s="88"/>
      <c r="B8" s="25">
        <v>505</v>
      </c>
      <c r="C8" s="26">
        <f>ROUND(B8/10.764,2)</f>
        <v>46.92</v>
      </c>
      <c r="F8" s="1"/>
      <c r="G8" s="13"/>
      <c r="H8" s="2"/>
      <c r="I8" s="2"/>
    </row>
    <row r="9" spans="1:12" ht="33.75" customHeight="1" x14ac:dyDescent="0.25">
      <c r="A9" s="27"/>
      <c r="B9" s="25"/>
      <c r="C9" s="25"/>
      <c r="G9" s="9" t="s">
        <v>19</v>
      </c>
      <c r="H9" s="2"/>
      <c r="K9" s="1"/>
    </row>
    <row r="10" spans="1:12" x14ac:dyDescent="0.25">
      <c r="A10" s="28" t="s">
        <v>18</v>
      </c>
      <c r="B10" s="29"/>
      <c r="C10" s="30">
        <v>5500</v>
      </c>
      <c r="D10" t="s">
        <v>23</v>
      </c>
      <c r="I10" s="2"/>
    </row>
    <row r="11" spans="1:12" x14ac:dyDescent="0.25">
      <c r="A11" s="28"/>
      <c r="B11" s="29"/>
      <c r="C11" s="29"/>
      <c r="D11" t="s">
        <v>24</v>
      </c>
    </row>
    <row r="12" spans="1:12" x14ac:dyDescent="0.25">
      <c r="A12" s="29" t="s">
        <v>16</v>
      </c>
      <c r="B12" s="29"/>
      <c r="C12" s="30">
        <f>ROUND(C8*C10,0)</f>
        <v>258060</v>
      </c>
      <c r="D12" s="2" t="s">
        <v>25</v>
      </c>
      <c r="I12" s="4"/>
      <c r="J12" s="4"/>
      <c r="K12" s="4"/>
    </row>
    <row r="13" spans="1:12" x14ac:dyDescent="0.25">
      <c r="A13" s="29"/>
      <c r="B13" s="29"/>
      <c r="C13" s="30"/>
      <c r="D13" t="s">
        <v>30</v>
      </c>
      <c r="F13" s="6"/>
      <c r="G13" s="6"/>
      <c r="H13" s="6"/>
      <c r="I13" s="4"/>
      <c r="J13" s="4"/>
      <c r="K13" s="4"/>
    </row>
    <row r="14" spans="1:12" x14ac:dyDescent="0.25">
      <c r="A14" s="29" t="s">
        <v>2</v>
      </c>
      <c r="B14" s="29"/>
      <c r="C14" s="29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29" t="s">
        <v>37</v>
      </c>
      <c r="B15" s="29"/>
      <c r="C15" s="31">
        <f>C14*C6/70</f>
        <v>25.714285714285715</v>
      </c>
      <c r="F15" s="6"/>
      <c r="G15" s="6"/>
      <c r="H15" s="7"/>
      <c r="I15" s="4"/>
      <c r="J15" s="4"/>
      <c r="K15" s="4"/>
    </row>
    <row r="16" spans="1:12" x14ac:dyDescent="0.25">
      <c r="A16" s="29"/>
      <c r="B16" s="29"/>
      <c r="C16" s="32">
        <v>0.2571</v>
      </c>
      <c r="G16" s="6"/>
      <c r="H16" s="5"/>
      <c r="I16" s="89"/>
      <c r="J16" s="89"/>
      <c r="K16" s="89"/>
    </row>
    <row r="17" spans="1:11" x14ac:dyDescent="0.25">
      <c r="A17" s="24" t="s">
        <v>3</v>
      </c>
      <c r="B17" s="24"/>
      <c r="C17" s="33">
        <f>ROUND(C12*C16,0)</f>
        <v>66347</v>
      </c>
      <c r="D17" s="2"/>
      <c r="E17" s="2"/>
    </row>
    <row r="18" spans="1:11" x14ac:dyDescent="0.25">
      <c r="A18" s="34" t="s">
        <v>13</v>
      </c>
      <c r="B18" s="34"/>
      <c r="C18" s="34"/>
      <c r="E18" s="1"/>
    </row>
    <row r="19" spans="1:11" x14ac:dyDescent="0.25">
      <c r="A19" s="35" t="s">
        <v>17</v>
      </c>
      <c r="B19" s="35"/>
      <c r="C19" s="36">
        <f>H7</f>
        <v>53000</v>
      </c>
    </row>
    <row r="20" spans="1:11" x14ac:dyDescent="0.25">
      <c r="A20" s="37"/>
      <c r="B20" s="37"/>
      <c r="C20" s="37"/>
    </row>
    <row r="21" spans="1:11" x14ac:dyDescent="0.25">
      <c r="A21" s="38" t="s">
        <v>20</v>
      </c>
      <c r="B21" s="38"/>
      <c r="C21" s="39">
        <f>ROUND(C19*C8,0)</f>
        <v>2486760</v>
      </c>
    </row>
    <row r="22" spans="1:11" x14ac:dyDescent="0.25">
      <c r="A22" s="40"/>
      <c r="B22" s="40"/>
      <c r="C22" s="41"/>
      <c r="E22" t="s">
        <v>21</v>
      </c>
      <c r="F22" t="s">
        <v>22</v>
      </c>
    </row>
    <row r="23" spans="1:11" s="19" customFormat="1" x14ac:dyDescent="0.25">
      <c r="A23" s="42" t="s">
        <v>38</v>
      </c>
      <c r="B23" s="42"/>
      <c r="C23" s="43">
        <f>C21-C17</f>
        <v>2420413</v>
      </c>
      <c r="E23" s="20">
        <f>C23</f>
        <v>2420413</v>
      </c>
      <c r="F23" s="20">
        <f>C23</f>
        <v>2420413</v>
      </c>
      <c r="G23" s="21"/>
    </row>
    <row r="24" spans="1:11" x14ac:dyDescent="0.25">
      <c r="A24" s="40"/>
      <c r="B24" s="40"/>
      <c r="C24" s="40"/>
      <c r="D24" t="s">
        <v>35</v>
      </c>
      <c r="E24" s="2">
        <v>1000000</v>
      </c>
      <c r="F24" s="12">
        <f>ROUND(F23*1%,0)</f>
        <v>24204</v>
      </c>
      <c r="G24" s="2"/>
    </row>
    <row r="25" spans="1:11" x14ac:dyDescent="0.25">
      <c r="A25" s="29" t="s">
        <v>4</v>
      </c>
      <c r="B25" s="29"/>
      <c r="C25" s="44">
        <f>E28</f>
        <v>152383</v>
      </c>
      <c r="E25" s="2">
        <f>ROUND(E23-E24,500)</f>
        <v>1420413</v>
      </c>
      <c r="F25">
        <v>20000</v>
      </c>
      <c r="G25" t="s">
        <v>29</v>
      </c>
    </row>
    <row r="26" spans="1:11" x14ac:dyDescent="0.25">
      <c r="A26" s="29" t="s">
        <v>5</v>
      </c>
      <c r="B26" s="29"/>
      <c r="C26" s="44">
        <f>F25</f>
        <v>20000</v>
      </c>
      <c r="D26" t="s">
        <v>36</v>
      </c>
      <c r="E26" s="2">
        <f>ROUND(E25*8%,0)</f>
        <v>113633</v>
      </c>
      <c r="G26" s="1"/>
      <c r="K26" s="1"/>
    </row>
    <row r="27" spans="1:11" x14ac:dyDescent="0.25">
      <c r="A27" s="29"/>
      <c r="B27" s="29"/>
      <c r="C27" s="29"/>
      <c r="E27" s="1">
        <v>38750</v>
      </c>
      <c r="J27" s="8"/>
      <c r="K27" s="8"/>
    </row>
    <row r="28" spans="1:11" x14ac:dyDescent="0.25">
      <c r="A28" s="45" t="s">
        <v>6</v>
      </c>
      <c r="B28" s="45"/>
      <c r="C28" s="46">
        <f>ROUND(C26+C25+C23,0)</f>
        <v>2592796</v>
      </c>
      <c r="E28" s="11">
        <f>ROUND(E26+E27,0)</f>
        <v>152383</v>
      </c>
      <c r="J28" s="8"/>
    </row>
    <row r="29" spans="1:11" x14ac:dyDescent="0.25">
      <c r="A29" s="29" t="s">
        <v>7</v>
      </c>
      <c r="B29" s="29"/>
      <c r="C29" s="30">
        <v>0</v>
      </c>
      <c r="E29" s="2"/>
      <c r="J29" s="8"/>
    </row>
    <row r="30" spans="1:11" x14ac:dyDescent="0.25">
      <c r="A30" s="29" t="s">
        <v>32</v>
      </c>
      <c r="B30" s="29"/>
      <c r="C30" s="30">
        <v>100</v>
      </c>
      <c r="E30" s="2"/>
      <c r="J30" s="8"/>
    </row>
    <row r="31" spans="1:11" x14ac:dyDescent="0.25">
      <c r="A31" s="29" t="s">
        <v>33</v>
      </c>
      <c r="B31" s="29"/>
      <c r="C31" s="30">
        <v>348</v>
      </c>
      <c r="E31" s="2"/>
      <c r="J31" s="8"/>
    </row>
    <row r="32" spans="1:11" x14ac:dyDescent="0.25">
      <c r="A32" s="29" t="s">
        <v>8</v>
      </c>
      <c r="B32" s="29"/>
      <c r="C32" s="30">
        <f>C28*C31/C30</f>
        <v>9022930.0800000001</v>
      </c>
      <c r="E32" s="2"/>
      <c r="J32" s="2"/>
    </row>
    <row r="33" spans="1:21" x14ac:dyDescent="0.25">
      <c r="A33" s="28" t="s">
        <v>8</v>
      </c>
      <c r="B33" s="45"/>
      <c r="C33" s="46">
        <f>ROUND(C32,0)</f>
        <v>9022930</v>
      </c>
    </row>
    <row r="34" spans="1:21" x14ac:dyDescent="0.25">
      <c r="U34">
        <f>32.91+37.7</f>
        <v>70.61</v>
      </c>
    </row>
    <row r="35" spans="1:21" ht="15.75" thickBot="1" x14ac:dyDescent="0.3"/>
    <row r="36" spans="1:21" ht="50.25" thickBot="1" x14ac:dyDescent="0.3">
      <c r="A36" s="47" t="s">
        <v>40</v>
      </c>
      <c r="B36" s="48" t="s">
        <v>41</v>
      </c>
      <c r="C36" s="48" t="s">
        <v>42</v>
      </c>
      <c r="D36" s="48" t="s">
        <v>43</v>
      </c>
      <c r="E36" s="48" t="s">
        <v>44</v>
      </c>
      <c r="F36" s="48" t="s">
        <v>8</v>
      </c>
    </row>
    <row r="37" spans="1:21" ht="15.75" thickBot="1" x14ac:dyDescent="0.3">
      <c r="A37" s="49" t="s">
        <v>45</v>
      </c>
      <c r="B37" s="49">
        <v>2001</v>
      </c>
      <c r="C37" s="49">
        <f>C28</f>
        <v>2592796</v>
      </c>
      <c r="D37" s="49">
        <v>100</v>
      </c>
      <c r="E37" s="49">
        <v>348</v>
      </c>
      <c r="F37" s="49">
        <f>ROUND(E37/D37*C37,0)</f>
        <v>9022930</v>
      </c>
    </row>
    <row r="38" spans="1:21" ht="15.75" thickBot="1" x14ac:dyDescent="0.3">
      <c r="A38" s="49"/>
      <c r="B38" s="49"/>
      <c r="C38" s="49"/>
      <c r="D38" s="49"/>
      <c r="E38" s="49"/>
      <c r="F38" s="49"/>
    </row>
    <row r="39" spans="1:21" ht="15.75" thickBot="1" x14ac:dyDescent="0.3">
      <c r="A39" s="49"/>
      <c r="B39" s="49"/>
      <c r="C39" s="49"/>
      <c r="D39" s="49"/>
      <c r="E39" s="49"/>
      <c r="F39" s="49"/>
    </row>
    <row r="40" spans="1:21" ht="15.75" thickBot="1" x14ac:dyDescent="0.3">
      <c r="A40" s="49"/>
      <c r="B40" s="49"/>
      <c r="C40" s="49"/>
      <c r="D40" s="49"/>
      <c r="E40" s="49"/>
      <c r="F40" s="50">
        <f>SUM(F37:F39)</f>
        <v>9022930</v>
      </c>
    </row>
    <row r="41" spans="1:21" ht="15.75" thickBot="1" x14ac:dyDescent="0.3">
      <c r="A41" s="49"/>
      <c r="B41" s="49"/>
      <c r="C41" s="49"/>
      <c r="D41" s="49"/>
      <c r="E41" s="49"/>
      <c r="F41" s="49"/>
    </row>
    <row r="47" spans="1:21" x14ac:dyDescent="0.25">
      <c r="G47" t="s">
        <v>46</v>
      </c>
    </row>
  </sheetData>
  <mergeCells count="6">
    <mergeCell ref="I16:K16"/>
    <mergeCell ref="A1:C1"/>
    <mergeCell ref="A2:B2"/>
    <mergeCell ref="G4:H4"/>
    <mergeCell ref="K4:L4"/>
    <mergeCell ref="A7:A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9B642-7CAB-4453-84A6-3FA9AB59D5ED}">
  <dimension ref="A1:U47"/>
  <sheetViews>
    <sheetView workbookViewId="0">
      <selection activeCell="G32" sqref="G32"/>
    </sheetView>
  </sheetViews>
  <sheetFormatPr defaultRowHeight="15" x14ac:dyDescent="0.25"/>
  <cols>
    <col min="1" max="1" width="26.8554687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86" t="s">
        <v>47</v>
      </c>
      <c r="B1" s="86"/>
      <c r="C1" s="86"/>
      <c r="E1" s="57" t="s">
        <v>101</v>
      </c>
    </row>
    <row r="2" spans="1:12" ht="15" customHeight="1" x14ac:dyDescent="0.25">
      <c r="A2" s="87" t="s">
        <v>9</v>
      </c>
      <c r="B2" s="87"/>
      <c r="C2" s="79">
        <v>2002</v>
      </c>
      <c r="E2" t="s">
        <v>34</v>
      </c>
    </row>
    <row r="3" spans="1:12" x14ac:dyDescent="0.25">
      <c r="A3" s="24"/>
      <c r="B3" s="24"/>
      <c r="C3" s="24"/>
      <c r="E3" t="s">
        <v>31</v>
      </c>
      <c r="F3">
        <f>ROUND(F2*1.2,2)</f>
        <v>0</v>
      </c>
      <c r="G3" t="e">
        <f>F3/F2</f>
        <v>#DIV/0!</v>
      </c>
      <c r="L3" s="3"/>
    </row>
    <row r="4" spans="1:12" x14ac:dyDescent="0.25">
      <c r="A4" s="24" t="s">
        <v>10</v>
      </c>
      <c r="B4" s="24"/>
      <c r="C4" s="79">
        <v>2002</v>
      </c>
      <c r="G4" s="91" t="s">
        <v>103</v>
      </c>
      <c r="H4" s="92"/>
      <c r="K4" s="90"/>
      <c r="L4" s="90"/>
    </row>
    <row r="5" spans="1:12" x14ac:dyDescent="0.25">
      <c r="A5" s="24" t="s">
        <v>0</v>
      </c>
      <c r="B5" s="24"/>
      <c r="C5" s="24">
        <v>1981</v>
      </c>
      <c r="D5" t="s">
        <v>39</v>
      </c>
      <c r="G5" s="14" t="s">
        <v>26</v>
      </c>
      <c r="H5" s="15">
        <v>61</v>
      </c>
      <c r="J5" s="10"/>
    </row>
    <row r="6" spans="1:12" x14ac:dyDescent="0.25">
      <c r="A6" s="24" t="s">
        <v>1</v>
      </c>
      <c r="B6" s="25"/>
      <c r="C6" s="24">
        <f>C4-C5</f>
        <v>21</v>
      </c>
      <c r="D6">
        <f>70-C6</f>
        <v>49</v>
      </c>
      <c r="G6" s="14" t="s">
        <v>27</v>
      </c>
      <c r="H6" s="17" t="s">
        <v>104</v>
      </c>
    </row>
    <row r="7" spans="1:12" x14ac:dyDescent="0.25">
      <c r="A7" s="88" t="s">
        <v>15</v>
      </c>
      <c r="B7" s="25" t="s">
        <v>11</v>
      </c>
      <c r="C7" s="25" t="s">
        <v>12</v>
      </c>
      <c r="G7" s="14" t="s">
        <v>28</v>
      </c>
      <c r="H7" s="16">
        <v>60000</v>
      </c>
      <c r="I7" s="2"/>
      <c r="J7" s="2"/>
    </row>
    <row r="8" spans="1:12" ht="15.75" customHeight="1" x14ac:dyDescent="0.25">
      <c r="A8" s="88"/>
      <c r="B8" s="25">
        <v>1035</v>
      </c>
      <c r="C8" s="26">
        <f>ROUND(B8/10.764,2)</f>
        <v>96.15</v>
      </c>
      <c r="F8" s="1"/>
      <c r="G8" s="78" t="s">
        <v>102</v>
      </c>
      <c r="H8" s="12">
        <f>H7*1.05</f>
        <v>63000</v>
      </c>
      <c r="I8" s="2"/>
    </row>
    <row r="9" spans="1:12" ht="33.75" customHeight="1" x14ac:dyDescent="0.25">
      <c r="A9" s="77"/>
      <c r="B9" s="25"/>
      <c r="C9" s="25"/>
      <c r="G9" s="9" t="s">
        <v>19</v>
      </c>
      <c r="H9" s="2"/>
      <c r="K9" s="1"/>
    </row>
    <row r="10" spans="1:12" x14ac:dyDescent="0.25">
      <c r="A10" s="28" t="s">
        <v>18</v>
      </c>
      <c r="B10" s="29"/>
      <c r="C10" s="30">
        <v>5500</v>
      </c>
      <c r="D10" t="s">
        <v>23</v>
      </c>
      <c r="I10" s="2"/>
    </row>
    <row r="11" spans="1:12" x14ac:dyDescent="0.25">
      <c r="A11" s="28"/>
      <c r="B11" s="29"/>
      <c r="C11" s="29"/>
      <c r="D11" t="s">
        <v>24</v>
      </c>
    </row>
    <row r="12" spans="1:12" x14ac:dyDescent="0.25">
      <c r="A12" s="29" t="s">
        <v>16</v>
      </c>
      <c r="B12" s="29"/>
      <c r="C12" s="30">
        <f>ROUND(C8*C10,0)</f>
        <v>528825</v>
      </c>
      <c r="D12" s="2" t="s">
        <v>25</v>
      </c>
      <c r="I12" s="4"/>
      <c r="J12" s="4"/>
      <c r="K12" s="4"/>
    </row>
    <row r="13" spans="1:12" x14ac:dyDescent="0.25">
      <c r="A13" s="29"/>
      <c r="B13" s="29"/>
      <c r="C13" s="30"/>
      <c r="D13" t="s">
        <v>30</v>
      </c>
      <c r="F13" s="6"/>
      <c r="G13" s="6"/>
      <c r="H13" s="6"/>
      <c r="I13" s="4"/>
      <c r="J13" s="4"/>
      <c r="K13" s="4"/>
    </row>
    <row r="14" spans="1:12" x14ac:dyDescent="0.25">
      <c r="A14" s="29" t="s">
        <v>2</v>
      </c>
      <c r="B14" s="29"/>
      <c r="C14" s="29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29" t="s">
        <v>37</v>
      </c>
      <c r="B15" s="29"/>
      <c r="C15" s="31">
        <f>C14*C6/70</f>
        <v>27</v>
      </c>
      <c r="F15" s="6"/>
      <c r="G15" s="6"/>
      <c r="H15" s="7"/>
      <c r="I15" s="4"/>
      <c r="J15" s="4"/>
      <c r="K15" s="4"/>
    </row>
    <row r="16" spans="1:12" x14ac:dyDescent="0.25">
      <c r="A16" s="29"/>
      <c r="B16" s="29"/>
      <c r="C16" s="32">
        <v>0.27</v>
      </c>
      <c r="G16" s="6"/>
      <c r="H16" s="5"/>
      <c r="I16" s="89"/>
      <c r="J16" s="89"/>
      <c r="K16" s="89"/>
    </row>
    <row r="17" spans="1:11" ht="20.25" customHeight="1" x14ac:dyDescent="0.25">
      <c r="A17" s="24" t="s">
        <v>3</v>
      </c>
      <c r="B17" s="24"/>
      <c r="C17" s="33">
        <f>ROUND(C12*C16,0)</f>
        <v>142783</v>
      </c>
      <c r="D17" s="2"/>
      <c r="E17" s="93"/>
      <c r="F17" s="93"/>
      <c r="G17" s="93"/>
    </row>
    <row r="18" spans="1:11" x14ac:dyDescent="0.25">
      <c r="A18" s="34" t="s">
        <v>13</v>
      </c>
      <c r="B18" s="34"/>
      <c r="C18" s="34"/>
      <c r="E18" s="1"/>
    </row>
    <row r="19" spans="1:11" x14ac:dyDescent="0.25">
      <c r="A19" s="35" t="s">
        <v>17</v>
      </c>
      <c r="B19" s="35"/>
      <c r="C19" s="36">
        <f>H8</f>
        <v>63000</v>
      </c>
    </row>
    <row r="20" spans="1:11" x14ac:dyDescent="0.25">
      <c r="A20" s="37"/>
      <c r="B20" s="37"/>
      <c r="C20" s="37"/>
    </row>
    <row r="21" spans="1:11" x14ac:dyDescent="0.25">
      <c r="A21" s="38" t="s">
        <v>20</v>
      </c>
      <c r="B21" s="38"/>
      <c r="C21" s="39">
        <f>ROUND(C19*C8,0)</f>
        <v>6057450</v>
      </c>
    </row>
    <row r="22" spans="1:11" x14ac:dyDescent="0.25">
      <c r="A22" s="40"/>
      <c r="B22" s="40"/>
      <c r="C22" s="41"/>
      <c r="E22" t="s">
        <v>21</v>
      </c>
      <c r="F22" t="s">
        <v>22</v>
      </c>
    </row>
    <row r="23" spans="1:11" s="19" customFormat="1" x14ac:dyDescent="0.25">
      <c r="A23" s="42" t="s">
        <v>38</v>
      </c>
      <c r="B23" s="42"/>
      <c r="C23" s="43">
        <f>C21-C17</f>
        <v>5914667</v>
      </c>
      <c r="E23" s="20">
        <f>C23</f>
        <v>5914667</v>
      </c>
      <c r="F23" s="20">
        <f>C23</f>
        <v>5914667</v>
      </c>
      <c r="G23" s="21"/>
    </row>
    <row r="24" spans="1:11" x14ac:dyDescent="0.25">
      <c r="A24" s="40"/>
      <c r="B24" s="40"/>
      <c r="C24" s="40"/>
      <c r="D24" t="s">
        <v>35</v>
      </c>
      <c r="E24" s="2">
        <v>1000000</v>
      </c>
      <c r="F24" s="12">
        <f>ROUND(F23*1%,0)</f>
        <v>59147</v>
      </c>
      <c r="G24" s="2"/>
    </row>
    <row r="25" spans="1:11" x14ac:dyDescent="0.25">
      <c r="A25" s="29" t="s">
        <v>4</v>
      </c>
      <c r="B25" s="29"/>
      <c r="C25" s="44">
        <f>E28</f>
        <v>431923</v>
      </c>
      <c r="E25" s="2">
        <f>ROUND(E23-E24,500)</f>
        <v>4914667</v>
      </c>
      <c r="F25">
        <v>20000</v>
      </c>
      <c r="G25" t="s">
        <v>29</v>
      </c>
    </row>
    <row r="26" spans="1:11" x14ac:dyDescent="0.25">
      <c r="A26" s="29" t="s">
        <v>5</v>
      </c>
      <c r="B26" s="29"/>
      <c r="C26" s="44">
        <f>F25</f>
        <v>20000</v>
      </c>
      <c r="D26" t="s">
        <v>36</v>
      </c>
      <c r="E26" s="2">
        <f>ROUND(E25*8%,0)</f>
        <v>393173</v>
      </c>
      <c r="G26" s="1"/>
      <c r="K26" s="1"/>
    </row>
    <row r="27" spans="1:11" x14ac:dyDescent="0.25">
      <c r="A27" s="29"/>
      <c r="B27" s="29"/>
      <c r="C27" s="29"/>
      <c r="E27" s="1">
        <v>38750</v>
      </c>
      <c r="J27" s="8"/>
      <c r="K27" s="8"/>
    </row>
    <row r="28" spans="1:11" x14ac:dyDescent="0.25">
      <c r="A28" s="45" t="s">
        <v>6</v>
      </c>
      <c r="B28" s="45"/>
      <c r="C28" s="46">
        <f>ROUND(C26+C25+C23,0)</f>
        <v>6366590</v>
      </c>
      <c r="E28" s="11">
        <f>ROUND(E26+E27,0)</f>
        <v>431923</v>
      </c>
      <c r="J28" s="8"/>
    </row>
    <row r="29" spans="1:11" x14ac:dyDescent="0.25">
      <c r="A29" s="29" t="s">
        <v>7</v>
      </c>
      <c r="B29" s="29"/>
      <c r="C29" s="30">
        <v>0</v>
      </c>
      <c r="E29" s="2"/>
      <c r="J29" s="8"/>
    </row>
    <row r="30" spans="1:11" x14ac:dyDescent="0.25">
      <c r="A30" s="29" t="s">
        <v>105</v>
      </c>
      <c r="B30" s="29"/>
      <c r="C30" s="30">
        <v>105</v>
      </c>
      <c r="E30" s="2"/>
      <c r="J30" s="8"/>
    </row>
    <row r="31" spans="1:11" x14ac:dyDescent="0.25">
      <c r="A31" s="29" t="s">
        <v>33</v>
      </c>
      <c r="B31" s="29"/>
      <c r="C31" s="30">
        <v>348</v>
      </c>
      <c r="E31" s="2"/>
      <c r="J31" s="8"/>
    </row>
    <row r="32" spans="1:11" x14ac:dyDescent="0.25">
      <c r="A32" s="29" t="s">
        <v>8</v>
      </c>
      <c r="B32" s="29"/>
      <c r="C32" s="30">
        <f>C28*C31/C30</f>
        <v>21100698.285714287</v>
      </c>
      <c r="E32" s="2"/>
      <c r="J32" s="2"/>
    </row>
    <row r="33" spans="1:21" x14ac:dyDescent="0.25">
      <c r="A33" s="28" t="s">
        <v>8</v>
      </c>
      <c r="B33" s="45"/>
      <c r="C33" s="46">
        <f>ROUND(C32,0)</f>
        <v>21100698</v>
      </c>
    </row>
    <row r="34" spans="1:21" x14ac:dyDescent="0.25">
      <c r="U34">
        <f>32.91+37.7</f>
        <v>70.61</v>
      </c>
    </row>
    <row r="35" spans="1:21" ht="15.75" thickBot="1" x14ac:dyDescent="0.3"/>
    <row r="36" spans="1:21" ht="50.25" thickBot="1" x14ac:dyDescent="0.3">
      <c r="A36" s="47" t="s">
        <v>40</v>
      </c>
      <c r="B36" s="48" t="s">
        <v>41</v>
      </c>
      <c r="C36" s="48" t="s">
        <v>42</v>
      </c>
      <c r="D36" s="48" t="s">
        <v>43</v>
      </c>
      <c r="E36" s="48" t="s">
        <v>44</v>
      </c>
      <c r="F36" s="48" t="s">
        <v>8</v>
      </c>
    </row>
    <row r="37" spans="1:21" ht="15.75" thickBot="1" x14ac:dyDescent="0.3">
      <c r="A37" s="49" t="s">
        <v>45</v>
      </c>
      <c r="B37" s="49">
        <v>2001</v>
      </c>
      <c r="C37" s="49">
        <f>C28</f>
        <v>6366590</v>
      </c>
      <c r="D37" s="49">
        <v>100</v>
      </c>
      <c r="E37" s="49">
        <v>348</v>
      </c>
      <c r="F37" s="49">
        <f>ROUND(E37/D37*C37,0)</f>
        <v>22155733</v>
      </c>
    </row>
    <row r="38" spans="1:21" ht="15.75" thickBot="1" x14ac:dyDescent="0.3">
      <c r="A38" s="49"/>
      <c r="B38" s="49"/>
      <c r="C38" s="49"/>
      <c r="D38" s="49"/>
      <c r="E38" s="49"/>
      <c r="F38" s="49"/>
    </row>
    <row r="39" spans="1:21" ht="15.75" thickBot="1" x14ac:dyDescent="0.3">
      <c r="A39" s="49"/>
      <c r="B39" s="49"/>
      <c r="C39" s="49"/>
      <c r="D39" s="49"/>
      <c r="E39" s="49"/>
      <c r="F39" s="49"/>
    </row>
    <row r="40" spans="1:21" ht="15.75" thickBot="1" x14ac:dyDescent="0.3">
      <c r="A40" s="49"/>
      <c r="B40" s="49"/>
      <c r="C40" s="49"/>
      <c r="D40" s="49"/>
      <c r="E40" s="49"/>
      <c r="F40" s="50">
        <f>SUM(F37:F39)</f>
        <v>22155733</v>
      </c>
    </row>
    <row r="41" spans="1:21" ht="15.75" thickBot="1" x14ac:dyDescent="0.3">
      <c r="A41" s="49"/>
      <c r="B41" s="49"/>
      <c r="C41" s="49"/>
      <c r="D41" s="49"/>
      <c r="E41" s="49"/>
      <c r="F41" s="49"/>
    </row>
    <row r="47" spans="1:21" x14ac:dyDescent="0.25">
      <c r="G47" t="s">
        <v>46</v>
      </c>
    </row>
  </sheetData>
  <mergeCells count="7">
    <mergeCell ref="E17:G17"/>
    <mergeCell ref="A1:C1"/>
    <mergeCell ref="A2:B2"/>
    <mergeCell ref="G4:H4"/>
    <mergeCell ref="K4:L4"/>
    <mergeCell ref="A7:A8"/>
    <mergeCell ref="I16:K1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E0917-CF1D-4E17-965E-23698FD105C6}">
  <dimension ref="A1:U47"/>
  <sheetViews>
    <sheetView workbookViewId="0">
      <selection activeCell="C18" sqref="C18"/>
    </sheetView>
  </sheetViews>
  <sheetFormatPr defaultRowHeight="15" x14ac:dyDescent="0.25"/>
  <cols>
    <col min="1" max="1" width="26.8554687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86" t="s">
        <v>47</v>
      </c>
      <c r="B1" s="86"/>
      <c r="C1" s="86"/>
      <c r="E1" s="57" t="s">
        <v>101</v>
      </c>
    </row>
    <row r="2" spans="1:12" ht="15" customHeight="1" x14ac:dyDescent="0.25">
      <c r="A2" s="87" t="s">
        <v>9</v>
      </c>
      <c r="B2" s="87"/>
      <c r="C2" s="79">
        <v>2002</v>
      </c>
      <c r="E2" t="s">
        <v>34</v>
      </c>
    </row>
    <row r="3" spans="1:12" x14ac:dyDescent="0.25">
      <c r="A3" s="24"/>
      <c r="B3" s="24"/>
      <c r="C3" s="24"/>
      <c r="E3" t="s">
        <v>31</v>
      </c>
      <c r="F3">
        <f>ROUND(F2*1.2,2)</f>
        <v>0</v>
      </c>
      <c r="G3" t="e">
        <f>F3/F2</f>
        <v>#DIV/0!</v>
      </c>
      <c r="L3" s="3"/>
    </row>
    <row r="4" spans="1:12" x14ac:dyDescent="0.25">
      <c r="A4" s="24" t="s">
        <v>10</v>
      </c>
      <c r="B4" s="24"/>
      <c r="C4" s="79">
        <v>2002</v>
      </c>
      <c r="G4" s="91" t="s">
        <v>103</v>
      </c>
      <c r="H4" s="92"/>
      <c r="K4" s="90"/>
      <c r="L4" s="90"/>
    </row>
    <row r="5" spans="1:12" x14ac:dyDescent="0.25">
      <c r="A5" s="24" t="s">
        <v>0</v>
      </c>
      <c r="B5" s="24"/>
      <c r="C5" s="24">
        <v>1981</v>
      </c>
      <c r="D5" t="s">
        <v>39</v>
      </c>
      <c r="G5" s="14" t="s">
        <v>26</v>
      </c>
      <c r="H5" s="15">
        <v>61</v>
      </c>
      <c r="J5" s="10"/>
    </row>
    <row r="6" spans="1:12" x14ac:dyDescent="0.25">
      <c r="A6" s="24" t="s">
        <v>1</v>
      </c>
      <c r="B6" s="25"/>
      <c r="C6" s="24">
        <f>C4-C5</f>
        <v>21</v>
      </c>
      <c r="D6">
        <f>70-C6</f>
        <v>49</v>
      </c>
      <c r="G6" s="14" t="s">
        <v>27</v>
      </c>
      <c r="H6" s="17" t="s">
        <v>104</v>
      </c>
    </row>
    <row r="7" spans="1:12" x14ac:dyDescent="0.25">
      <c r="A7" s="88" t="s">
        <v>15</v>
      </c>
      <c r="B7" s="25" t="s">
        <v>11</v>
      </c>
      <c r="C7" s="25" t="s">
        <v>12</v>
      </c>
      <c r="G7" s="14" t="s">
        <v>28</v>
      </c>
      <c r="H7" s="16">
        <v>60000</v>
      </c>
      <c r="I7" s="2"/>
      <c r="J7" s="2"/>
    </row>
    <row r="8" spans="1:12" ht="15.75" customHeight="1" x14ac:dyDescent="0.25">
      <c r="A8" s="88"/>
      <c r="B8" s="25">
        <v>505</v>
      </c>
      <c r="C8" s="26">
        <f>ROUND(B8/10.764,2)</f>
        <v>46.92</v>
      </c>
      <c r="F8" s="1"/>
      <c r="G8" s="78" t="s">
        <v>102</v>
      </c>
      <c r="H8" s="12">
        <f>H7*1.05</f>
        <v>63000</v>
      </c>
      <c r="I8" s="2"/>
    </row>
    <row r="9" spans="1:12" ht="33.75" customHeight="1" x14ac:dyDescent="0.25">
      <c r="A9" s="77"/>
      <c r="B9" s="25"/>
      <c r="C9" s="25"/>
      <c r="G9" s="9" t="s">
        <v>19</v>
      </c>
      <c r="H9" s="2"/>
      <c r="K9" s="1"/>
    </row>
    <row r="10" spans="1:12" x14ac:dyDescent="0.25">
      <c r="A10" s="28" t="s">
        <v>18</v>
      </c>
      <c r="B10" s="29"/>
      <c r="C10" s="30">
        <v>5500</v>
      </c>
      <c r="D10" t="s">
        <v>23</v>
      </c>
      <c r="I10" s="2"/>
    </row>
    <row r="11" spans="1:12" x14ac:dyDescent="0.25">
      <c r="A11" s="28"/>
      <c r="B11" s="29"/>
      <c r="C11" s="29"/>
      <c r="D11" t="s">
        <v>24</v>
      </c>
    </row>
    <row r="12" spans="1:12" x14ac:dyDescent="0.25">
      <c r="A12" s="29" t="s">
        <v>16</v>
      </c>
      <c r="B12" s="29"/>
      <c r="C12" s="30">
        <f>ROUND(C8*C10,0)</f>
        <v>258060</v>
      </c>
      <c r="D12" s="2" t="s">
        <v>25</v>
      </c>
      <c r="I12" s="4"/>
      <c r="J12" s="4"/>
      <c r="K12" s="4"/>
    </row>
    <row r="13" spans="1:12" x14ac:dyDescent="0.25">
      <c r="A13" s="29"/>
      <c r="B13" s="29"/>
      <c r="C13" s="30"/>
      <c r="D13" t="s">
        <v>30</v>
      </c>
      <c r="F13" s="6"/>
      <c r="G13" s="6"/>
      <c r="H13" s="6"/>
      <c r="I13" s="4"/>
      <c r="J13" s="4"/>
      <c r="K13" s="4"/>
    </row>
    <row r="14" spans="1:12" x14ac:dyDescent="0.25">
      <c r="A14" s="29" t="s">
        <v>2</v>
      </c>
      <c r="B14" s="29"/>
      <c r="C14" s="29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29" t="s">
        <v>37</v>
      </c>
      <c r="B15" s="29"/>
      <c r="C15" s="31">
        <f>C14*C6/70</f>
        <v>27</v>
      </c>
      <c r="F15" s="6"/>
      <c r="G15" s="6"/>
      <c r="H15" s="7"/>
      <c r="I15" s="4"/>
      <c r="J15" s="4"/>
      <c r="K15" s="4"/>
    </row>
    <row r="16" spans="1:12" x14ac:dyDescent="0.25">
      <c r="A16" s="29"/>
      <c r="B16" s="29"/>
      <c r="C16" s="32">
        <v>0.27</v>
      </c>
      <c r="G16" s="6"/>
      <c r="H16" s="5"/>
      <c r="I16" s="89"/>
      <c r="J16" s="89"/>
      <c r="K16" s="89"/>
    </row>
    <row r="17" spans="1:11" ht="20.25" customHeight="1" x14ac:dyDescent="0.25">
      <c r="A17" s="24" t="s">
        <v>3</v>
      </c>
      <c r="B17" s="24"/>
      <c r="C17" s="33">
        <f>ROUND(C12*C16,0)</f>
        <v>69676</v>
      </c>
      <c r="D17" s="2"/>
      <c r="E17" s="93"/>
      <c r="F17" s="93"/>
      <c r="G17" s="93"/>
    </row>
    <row r="18" spans="1:11" x14ac:dyDescent="0.25">
      <c r="A18" s="34" t="s">
        <v>13</v>
      </c>
      <c r="B18" s="34"/>
      <c r="C18" s="34"/>
      <c r="E18" s="1"/>
    </row>
    <row r="19" spans="1:11" x14ac:dyDescent="0.25">
      <c r="A19" s="35" t="s">
        <v>17</v>
      </c>
      <c r="B19" s="35"/>
      <c r="C19" s="36">
        <f>H8</f>
        <v>63000</v>
      </c>
    </row>
    <row r="20" spans="1:11" x14ac:dyDescent="0.25">
      <c r="A20" s="37"/>
      <c r="B20" s="37"/>
      <c r="C20" s="37"/>
    </row>
    <row r="21" spans="1:11" x14ac:dyDescent="0.25">
      <c r="A21" s="38" t="s">
        <v>20</v>
      </c>
      <c r="B21" s="38"/>
      <c r="C21" s="39">
        <f>ROUND(C19*C8,0)</f>
        <v>2955960</v>
      </c>
    </row>
    <row r="22" spans="1:11" x14ac:dyDescent="0.25">
      <c r="A22" s="40"/>
      <c r="B22" s="40"/>
      <c r="C22" s="41"/>
      <c r="E22" t="s">
        <v>21</v>
      </c>
      <c r="F22" t="s">
        <v>22</v>
      </c>
    </row>
    <row r="23" spans="1:11" s="19" customFormat="1" x14ac:dyDescent="0.25">
      <c r="A23" s="42" t="s">
        <v>38</v>
      </c>
      <c r="B23" s="42"/>
      <c r="C23" s="43">
        <f>C21-C17</f>
        <v>2886284</v>
      </c>
      <c r="E23" s="20">
        <f>C23</f>
        <v>2886284</v>
      </c>
      <c r="F23" s="20">
        <f>C23</f>
        <v>2886284</v>
      </c>
      <c r="G23" s="21"/>
    </row>
    <row r="24" spans="1:11" x14ac:dyDescent="0.25">
      <c r="A24" s="40"/>
      <c r="B24" s="40"/>
      <c r="C24" s="40"/>
      <c r="D24" t="s">
        <v>35</v>
      </c>
      <c r="E24" s="2">
        <v>1000000</v>
      </c>
      <c r="F24" s="12">
        <f>ROUND(F23*1%,0)</f>
        <v>28863</v>
      </c>
      <c r="G24" s="2"/>
    </row>
    <row r="25" spans="1:11" x14ac:dyDescent="0.25">
      <c r="A25" s="29" t="s">
        <v>4</v>
      </c>
      <c r="B25" s="29"/>
      <c r="C25" s="44">
        <f>E28</f>
        <v>189653</v>
      </c>
      <c r="E25" s="2">
        <f>ROUND(E23-E24,500)</f>
        <v>1886284</v>
      </c>
      <c r="F25">
        <v>20000</v>
      </c>
      <c r="G25" t="s">
        <v>29</v>
      </c>
    </row>
    <row r="26" spans="1:11" x14ac:dyDescent="0.25">
      <c r="A26" s="29" t="s">
        <v>5</v>
      </c>
      <c r="B26" s="29"/>
      <c r="C26" s="44">
        <f>F25</f>
        <v>20000</v>
      </c>
      <c r="D26" t="s">
        <v>36</v>
      </c>
      <c r="E26" s="2">
        <f>ROUND(E25*8%,0)</f>
        <v>150903</v>
      </c>
      <c r="G26" s="1"/>
      <c r="K26" s="1"/>
    </row>
    <row r="27" spans="1:11" x14ac:dyDescent="0.25">
      <c r="A27" s="29"/>
      <c r="B27" s="29"/>
      <c r="C27" s="29"/>
      <c r="E27" s="1">
        <v>38750</v>
      </c>
      <c r="J27" s="8"/>
      <c r="K27" s="8"/>
    </row>
    <row r="28" spans="1:11" x14ac:dyDescent="0.25">
      <c r="A28" s="45" t="s">
        <v>6</v>
      </c>
      <c r="B28" s="45"/>
      <c r="C28" s="46">
        <f>ROUND(C26+C25+C23,0)</f>
        <v>3095937</v>
      </c>
      <c r="E28" s="11">
        <f>ROUND(E26+E27,0)</f>
        <v>189653</v>
      </c>
      <c r="J28" s="8"/>
    </row>
    <row r="29" spans="1:11" x14ac:dyDescent="0.25">
      <c r="A29" s="29" t="s">
        <v>7</v>
      </c>
      <c r="B29" s="29"/>
      <c r="C29" s="30">
        <v>0</v>
      </c>
      <c r="E29" s="2"/>
      <c r="J29" s="8"/>
    </row>
    <row r="30" spans="1:11" x14ac:dyDescent="0.25">
      <c r="A30" s="29" t="s">
        <v>105</v>
      </c>
      <c r="B30" s="29"/>
      <c r="C30" s="30">
        <v>105</v>
      </c>
      <c r="E30" s="2"/>
      <c r="J30" s="8"/>
    </row>
    <row r="31" spans="1:11" x14ac:dyDescent="0.25">
      <c r="A31" s="29" t="s">
        <v>33</v>
      </c>
      <c r="B31" s="29"/>
      <c r="C31" s="30">
        <v>348</v>
      </c>
      <c r="E31" s="2"/>
      <c r="J31" s="8"/>
    </row>
    <row r="32" spans="1:11" x14ac:dyDescent="0.25">
      <c r="A32" s="29" t="s">
        <v>8</v>
      </c>
      <c r="B32" s="29"/>
      <c r="C32" s="30">
        <f>C28*C31/C30</f>
        <v>10260819.771428572</v>
      </c>
      <c r="E32" s="2"/>
      <c r="J32" s="2"/>
    </row>
    <row r="33" spans="1:21" x14ac:dyDescent="0.25">
      <c r="A33" s="28" t="s">
        <v>8</v>
      </c>
      <c r="B33" s="45"/>
      <c r="C33" s="46">
        <f>ROUND(C32,0)</f>
        <v>10260820</v>
      </c>
    </row>
    <row r="34" spans="1:21" x14ac:dyDescent="0.25">
      <c r="U34">
        <f>32.91+37.7</f>
        <v>70.61</v>
      </c>
    </row>
    <row r="35" spans="1:21" ht="15.75" thickBot="1" x14ac:dyDescent="0.3"/>
    <row r="36" spans="1:21" ht="50.25" thickBot="1" x14ac:dyDescent="0.3">
      <c r="A36" s="47" t="s">
        <v>40</v>
      </c>
      <c r="B36" s="48" t="s">
        <v>41</v>
      </c>
      <c r="C36" s="48" t="s">
        <v>42</v>
      </c>
      <c r="D36" s="48" t="s">
        <v>43</v>
      </c>
      <c r="E36" s="48" t="s">
        <v>44</v>
      </c>
      <c r="F36" s="48" t="s">
        <v>8</v>
      </c>
    </row>
    <row r="37" spans="1:21" ht="15.75" thickBot="1" x14ac:dyDescent="0.3">
      <c r="A37" s="49" t="s">
        <v>45</v>
      </c>
      <c r="B37" s="49">
        <v>2002</v>
      </c>
      <c r="C37" s="49">
        <f>C28</f>
        <v>3095937</v>
      </c>
      <c r="D37" s="49">
        <v>105</v>
      </c>
      <c r="E37" s="49">
        <v>348</v>
      </c>
      <c r="F37" s="49">
        <f>ROUND(E37/D37*C37,0)</f>
        <v>10260820</v>
      </c>
    </row>
    <row r="38" spans="1:21" ht="15.75" thickBot="1" x14ac:dyDescent="0.3">
      <c r="A38" s="49"/>
      <c r="B38" s="49"/>
      <c r="C38" s="49"/>
      <c r="D38" s="49"/>
      <c r="E38" s="49"/>
      <c r="F38" s="49"/>
    </row>
    <row r="39" spans="1:21" ht="15.75" thickBot="1" x14ac:dyDescent="0.3">
      <c r="A39" s="49"/>
      <c r="B39" s="49"/>
      <c r="C39" s="49"/>
      <c r="D39" s="49"/>
      <c r="E39" s="49"/>
      <c r="F39" s="49"/>
    </row>
    <row r="40" spans="1:21" ht="15.75" thickBot="1" x14ac:dyDescent="0.3">
      <c r="A40" s="49"/>
      <c r="B40" s="49"/>
      <c r="C40" s="49"/>
      <c r="D40" s="49"/>
      <c r="E40" s="49"/>
      <c r="F40" s="50">
        <f>SUM(F37:F39)</f>
        <v>10260820</v>
      </c>
    </row>
    <row r="41" spans="1:21" ht="15.75" thickBot="1" x14ac:dyDescent="0.3">
      <c r="A41" s="49"/>
      <c r="B41" s="49"/>
      <c r="C41" s="49"/>
      <c r="D41" s="49"/>
      <c r="E41" s="49"/>
      <c r="F41" s="49"/>
    </row>
    <row r="47" spans="1:21" x14ac:dyDescent="0.25">
      <c r="G47" t="s">
        <v>46</v>
      </c>
    </row>
  </sheetData>
  <mergeCells count="7">
    <mergeCell ref="E17:G17"/>
    <mergeCell ref="A1:C1"/>
    <mergeCell ref="A2:B2"/>
    <mergeCell ref="G4:H4"/>
    <mergeCell ref="K4:L4"/>
    <mergeCell ref="A7:A8"/>
    <mergeCell ref="I16:K1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BBE4F-0375-4B35-896F-07304732D83A}">
  <dimension ref="A1:V47"/>
  <sheetViews>
    <sheetView workbookViewId="0">
      <selection activeCell="L33" sqref="L33"/>
    </sheetView>
  </sheetViews>
  <sheetFormatPr defaultRowHeight="15" x14ac:dyDescent="0.25"/>
  <cols>
    <col min="1" max="1" width="26.85546875" customWidth="1"/>
    <col min="2" max="2" width="19.28515625" customWidth="1"/>
    <col min="3" max="6" width="22.5703125" customWidth="1"/>
    <col min="7" max="7" width="17.140625" customWidth="1"/>
    <col min="8" max="8" width="18" customWidth="1"/>
    <col min="9" max="9" width="17.140625" customWidth="1"/>
    <col min="10" max="10" width="13.42578125" customWidth="1"/>
    <col min="11" max="11" width="12.7109375" customWidth="1"/>
    <col min="12" max="12" width="19.85546875" customWidth="1"/>
  </cols>
  <sheetData>
    <row r="1" spans="1:13" ht="26.25" x14ac:dyDescent="0.4">
      <c r="A1" s="86" t="s">
        <v>47</v>
      </c>
      <c r="B1" s="86"/>
      <c r="C1" s="86"/>
      <c r="D1" s="52"/>
      <c r="E1" s="52"/>
      <c r="F1" s="52"/>
    </row>
    <row r="2" spans="1:13" ht="15" customHeight="1" x14ac:dyDescent="0.25">
      <c r="A2" s="87" t="s">
        <v>9</v>
      </c>
      <c r="B2" s="87"/>
      <c r="C2" s="80" t="s">
        <v>77</v>
      </c>
      <c r="D2" s="80" t="s">
        <v>113</v>
      </c>
      <c r="E2" s="80" t="s">
        <v>80</v>
      </c>
      <c r="F2" s="80" t="s">
        <v>114</v>
      </c>
    </row>
    <row r="3" spans="1:13" x14ac:dyDescent="0.25">
      <c r="A3" s="24"/>
      <c r="B3" s="24"/>
      <c r="C3" s="24"/>
      <c r="D3" s="24"/>
      <c r="E3" s="24"/>
      <c r="F3" s="24"/>
      <c r="M3" s="3"/>
    </row>
    <row r="4" spans="1:13" x14ac:dyDescent="0.25">
      <c r="A4" s="24" t="s">
        <v>10</v>
      </c>
      <c r="B4" s="24"/>
      <c r="C4" s="24">
        <v>2024</v>
      </c>
      <c r="D4" s="24">
        <v>2024</v>
      </c>
      <c r="E4" s="24">
        <v>2024</v>
      </c>
      <c r="F4" s="24">
        <v>2024</v>
      </c>
      <c r="H4" s="91"/>
      <c r="I4" s="92"/>
      <c r="L4" s="90"/>
      <c r="M4" s="90"/>
    </row>
    <row r="5" spans="1:13" x14ac:dyDescent="0.25">
      <c r="A5" s="24" t="s">
        <v>0</v>
      </c>
      <c r="B5" s="24"/>
      <c r="C5" s="24">
        <v>2024</v>
      </c>
      <c r="D5" s="24">
        <v>2024</v>
      </c>
      <c r="E5" s="24">
        <v>2024</v>
      </c>
      <c r="F5" s="24">
        <v>2024</v>
      </c>
      <c r="H5" s="14"/>
      <c r="I5" s="15" t="s">
        <v>109</v>
      </c>
      <c r="K5" s="10"/>
    </row>
    <row r="6" spans="1:13" x14ac:dyDescent="0.25">
      <c r="A6" s="24" t="s">
        <v>1</v>
      </c>
      <c r="B6" s="25"/>
      <c r="C6" s="24">
        <f>C4-C5</f>
        <v>0</v>
      </c>
      <c r="D6" s="24">
        <f>D4-D5</f>
        <v>0</v>
      </c>
      <c r="E6" s="24">
        <f>E4-E5</f>
        <v>0</v>
      </c>
      <c r="F6" s="24">
        <f>F4-F5</f>
        <v>0</v>
      </c>
      <c r="H6" s="14" t="s">
        <v>28</v>
      </c>
      <c r="I6" s="17">
        <v>364560</v>
      </c>
    </row>
    <row r="7" spans="1:13" x14ac:dyDescent="0.25">
      <c r="A7" s="88" t="s">
        <v>15</v>
      </c>
      <c r="B7" s="25"/>
      <c r="C7" s="25" t="s">
        <v>12</v>
      </c>
      <c r="D7" s="25" t="s">
        <v>12</v>
      </c>
      <c r="E7" s="25" t="s">
        <v>12</v>
      </c>
      <c r="F7" s="25" t="s">
        <v>12</v>
      </c>
      <c r="H7" s="14" t="s">
        <v>110</v>
      </c>
      <c r="I7" s="16">
        <f>I6*1.05</f>
        <v>382788</v>
      </c>
      <c r="J7" s="2"/>
      <c r="K7" s="2"/>
    </row>
    <row r="8" spans="1:13" ht="15.75" customHeight="1" x14ac:dyDescent="0.25">
      <c r="A8" s="88"/>
      <c r="B8" s="25"/>
      <c r="C8" s="26">
        <v>120.18</v>
      </c>
      <c r="D8" s="26">
        <v>28</v>
      </c>
      <c r="E8" s="26">
        <v>59.52</v>
      </c>
      <c r="F8" s="26">
        <v>14</v>
      </c>
      <c r="G8" s="1"/>
      <c r="H8" s="53" t="s">
        <v>108</v>
      </c>
      <c r="I8" s="54">
        <f>I7*25%</f>
        <v>95697</v>
      </c>
      <c r="J8" s="2"/>
    </row>
    <row r="9" spans="1:13" ht="33.75" customHeight="1" x14ac:dyDescent="0.25">
      <c r="A9" s="81"/>
      <c r="B9" s="25"/>
      <c r="C9" s="25"/>
      <c r="D9" s="25"/>
      <c r="E9" s="25"/>
      <c r="F9" s="25"/>
      <c r="H9" s="9"/>
      <c r="I9" s="2"/>
      <c r="L9" s="1"/>
    </row>
    <row r="10" spans="1:13" x14ac:dyDescent="0.25">
      <c r="A10" s="28" t="s">
        <v>18</v>
      </c>
      <c r="B10" s="29"/>
      <c r="C10" s="30">
        <v>30250</v>
      </c>
      <c r="D10" s="30">
        <f>C10</f>
        <v>30250</v>
      </c>
      <c r="E10" s="30">
        <f>D10</f>
        <v>30250</v>
      </c>
      <c r="F10" s="30">
        <f>E10</f>
        <v>30250</v>
      </c>
      <c r="J10" s="2"/>
    </row>
    <row r="11" spans="1:13" x14ac:dyDescent="0.25">
      <c r="A11" s="28"/>
      <c r="B11" s="29"/>
      <c r="C11" s="29"/>
      <c r="D11" s="29"/>
      <c r="E11" s="29"/>
      <c r="F11" s="29"/>
    </row>
    <row r="12" spans="1:13" x14ac:dyDescent="0.25">
      <c r="A12" s="29" t="s">
        <v>16</v>
      </c>
      <c r="B12" s="29"/>
      <c r="C12" s="30">
        <f>ROUND(C8*C10,0)</f>
        <v>3635445</v>
      </c>
      <c r="D12" s="30">
        <f>ROUND(D8*D10,0)</f>
        <v>847000</v>
      </c>
      <c r="E12" s="30">
        <f>ROUND(E8*E10,0)</f>
        <v>1800480</v>
      </c>
      <c r="F12" s="30">
        <f>ROUND(F8*F10,0)</f>
        <v>423500</v>
      </c>
      <c r="J12" s="4"/>
      <c r="K12" s="4"/>
      <c r="L12" s="4"/>
    </row>
    <row r="13" spans="1:13" x14ac:dyDescent="0.25">
      <c r="A13" s="29"/>
      <c r="B13" s="29"/>
      <c r="C13" s="30"/>
      <c r="D13" s="30"/>
      <c r="E13" s="30"/>
      <c r="F13" s="30"/>
      <c r="G13" s="6"/>
      <c r="H13" s="6"/>
      <c r="I13" s="6"/>
      <c r="J13" s="4"/>
      <c r="K13" s="4"/>
      <c r="L13" s="4"/>
    </row>
    <row r="14" spans="1:13" x14ac:dyDescent="0.25">
      <c r="A14" s="29" t="s">
        <v>2</v>
      </c>
      <c r="B14" s="29"/>
      <c r="C14" s="29">
        <f>100-10</f>
        <v>90</v>
      </c>
      <c r="D14" s="29">
        <f>100-10</f>
        <v>90</v>
      </c>
      <c r="E14" s="29">
        <f>100-10</f>
        <v>90</v>
      </c>
      <c r="F14" s="29">
        <f>100-10</f>
        <v>90</v>
      </c>
      <c r="G14" s="6"/>
      <c r="H14" s="6"/>
      <c r="I14" s="7"/>
      <c r="J14" s="4"/>
      <c r="K14" s="4"/>
      <c r="L14" s="4"/>
    </row>
    <row r="15" spans="1:13" x14ac:dyDescent="0.25">
      <c r="A15" s="29" t="s">
        <v>37</v>
      </c>
      <c r="B15" s="29"/>
      <c r="C15" s="31">
        <f>C14*C6/70</f>
        <v>0</v>
      </c>
      <c r="D15" s="31">
        <f>D14*D6/70</f>
        <v>0</v>
      </c>
      <c r="E15" s="31">
        <f>E14*E6/70</f>
        <v>0</v>
      </c>
      <c r="F15" s="31">
        <f>F14*F6/70</f>
        <v>0</v>
      </c>
      <c r="G15" s="6"/>
      <c r="H15" s="6"/>
      <c r="I15" s="7"/>
      <c r="J15" s="4"/>
      <c r="K15" s="4"/>
      <c r="L15" s="4"/>
    </row>
    <row r="16" spans="1:13" x14ac:dyDescent="0.25">
      <c r="A16" s="29"/>
      <c r="B16" s="29"/>
      <c r="C16" s="32">
        <v>0</v>
      </c>
      <c r="D16" s="32">
        <v>0</v>
      </c>
      <c r="E16" s="32">
        <v>0</v>
      </c>
      <c r="F16" s="32">
        <v>0</v>
      </c>
      <c r="H16" s="6"/>
      <c r="I16" s="5"/>
      <c r="J16" s="89"/>
      <c r="K16" s="89"/>
      <c r="L16" s="89"/>
    </row>
    <row r="17" spans="1:12" x14ac:dyDescent="0.25">
      <c r="A17" s="24" t="s">
        <v>3</v>
      </c>
      <c r="B17" s="24"/>
      <c r="C17" s="33">
        <f>ROUND(C12*C16,0)</f>
        <v>0</v>
      </c>
      <c r="D17" s="33">
        <f>ROUND(D12*D16,0)</f>
        <v>0</v>
      </c>
      <c r="E17" s="33">
        <f>ROUND(E12*E16,0)</f>
        <v>0</v>
      </c>
      <c r="F17" s="33">
        <f>ROUND(F12*F16,0)</f>
        <v>0</v>
      </c>
    </row>
    <row r="18" spans="1:12" x14ac:dyDescent="0.25">
      <c r="A18" s="34" t="s">
        <v>13</v>
      </c>
      <c r="B18" s="34"/>
      <c r="C18" s="34"/>
      <c r="D18" s="34"/>
      <c r="E18" s="34"/>
      <c r="F18" s="34"/>
      <c r="H18" t="s">
        <v>111</v>
      </c>
      <c r="I18" t="s">
        <v>112</v>
      </c>
    </row>
    <row r="19" spans="1:12" x14ac:dyDescent="0.25">
      <c r="A19" s="35" t="s">
        <v>17</v>
      </c>
      <c r="B19" s="35"/>
      <c r="C19" s="36">
        <f>I7</f>
        <v>382788</v>
      </c>
      <c r="D19" s="36">
        <f>C19*25%</f>
        <v>95697</v>
      </c>
      <c r="E19" s="36">
        <f>I7</f>
        <v>382788</v>
      </c>
      <c r="F19" s="36">
        <f>E19*25%</f>
        <v>95697</v>
      </c>
      <c r="G19" t="s">
        <v>115</v>
      </c>
      <c r="H19" s="1">
        <f>C24</f>
        <v>48682978</v>
      </c>
      <c r="I19" s="1">
        <f>H19*1%</f>
        <v>486829.78</v>
      </c>
    </row>
    <row r="20" spans="1:12" x14ac:dyDescent="0.25">
      <c r="A20" s="37"/>
      <c r="B20" s="37"/>
      <c r="C20" s="37"/>
      <c r="D20" s="37"/>
      <c r="E20" s="37"/>
      <c r="F20" s="37"/>
      <c r="H20" s="1">
        <f>H19*5%</f>
        <v>2434148.9</v>
      </c>
      <c r="I20" s="1">
        <v>30000</v>
      </c>
    </row>
    <row r="21" spans="1:12" x14ac:dyDescent="0.25">
      <c r="A21" s="38" t="s">
        <v>20</v>
      </c>
      <c r="B21" s="38"/>
      <c r="C21" s="39">
        <f>ROUND(C19*C8,0)</f>
        <v>46003462</v>
      </c>
      <c r="D21" s="39">
        <f>ROUND(D19*D8,0)</f>
        <v>2679516</v>
      </c>
      <c r="E21" s="39">
        <f>ROUND(E19*E8,0)</f>
        <v>22783542</v>
      </c>
      <c r="F21" s="39">
        <f>ROUND(F19*F8,0)</f>
        <v>1339758</v>
      </c>
    </row>
    <row r="22" spans="1:12" x14ac:dyDescent="0.25">
      <c r="A22" s="40"/>
      <c r="B22" s="40"/>
      <c r="C22" s="41"/>
      <c r="D22" s="41"/>
      <c r="E22" s="41"/>
      <c r="F22" s="41"/>
      <c r="G22" t="s">
        <v>80</v>
      </c>
      <c r="H22" s="2">
        <f>E24</f>
        <v>24123300</v>
      </c>
      <c r="I22" s="2">
        <f>H22*1%</f>
        <v>241233</v>
      </c>
    </row>
    <row r="23" spans="1:12" s="19" customFormat="1" x14ac:dyDescent="0.25">
      <c r="A23" s="42" t="s">
        <v>38</v>
      </c>
      <c r="B23" s="42"/>
      <c r="C23" s="43">
        <f>C21-C17</f>
        <v>46003462</v>
      </c>
      <c r="D23" s="43">
        <f>D21-D17</f>
        <v>2679516</v>
      </c>
      <c r="E23" s="43">
        <f>E21-E17</f>
        <v>22783542</v>
      </c>
      <c r="F23" s="43">
        <f>F21-F17</f>
        <v>1339758</v>
      </c>
      <c r="G23" s="20"/>
      <c r="H23" s="21">
        <f>H22*5%</f>
        <v>1206165</v>
      </c>
      <c r="I23" s="19">
        <v>30000</v>
      </c>
    </row>
    <row r="24" spans="1:12" x14ac:dyDescent="0.25">
      <c r="A24" s="55" t="s">
        <v>51</v>
      </c>
      <c r="B24" s="55"/>
      <c r="C24" s="56">
        <f>C23+D23</f>
        <v>48682978</v>
      </c>
      <c r="D24" s="40"/>
      <c r="E24" s="41">
        <f>E23+F23</f>
        <v>24123300</v>
      </c>
      <c r="F24" s="40"/>
      <c r="G24" s="12"/>
      <c r="H24" s="2"/>
    </row>
    <row r="25" spans="1:12" x14ac:dyDescent="0.25">
      <c r="A25" s="29" t="s">
        <v>4</v>
      </c>
      <c r="B25" s="29"/>
      <c r="C25" s="44">
        <f>H20</f>
        <v>2434148.9</v>
      </c>
      <c r="D25" s="44">
        <f>G28</f>
        <v>75166833.900000006</v>
      </c>
      <c r="E25" s="44">
        <f>H23</f>
        <v>1206165</v>
      </c>
      <c r="F25" s="44">
        <f>I28</f>
        <v>0</v>
      </c>
    </row>
    <row r="26" spans="1:12" x14ac:dyDescent="0.25">
      <c r="A26" s="29" t="s">
        <v>5</v>
      </c>
      <c r="B26" s="29"/>
      <c r="C26" s="44">
        <f>I20</f>
        <v>30000</v>
      </c>
      <c r="D26" s="44" t="s">
        <v>52</v>
      </c>
      <c r="E26" s="44">
        <f>I23</f>
        <v>30000</v>
      </c>
      <c r="F26" s="44" t="s">
        <v>52</v>
      </c>
      <c r="H26" s="1"/>
      <c r="L26" s="1"/>
    </row>
    <row r="27" spans="1:12" x14ac:dyDescent="0.25">
      <c r="A27" s="29"/>
      <c r="B27" s="29"/>
      <c r="C27" s="29"/>
      <c r="D27" s="29"/>
      <c r="E27" s="29"/>
      <c r="F27" s="29"/>
      <c r="K27" s="8"/>
      <c r="L27" s="8"/>
    </row>
    <row r="28" spans="1:12" x14ac:dyDescent="0.25">
      <c r="A28" s="45" t="s">
        <v>6</v>
      </c>
      <c r="B28" s="45"/>
      <c r="C28" s="46">
        <f>C26+C25+C24</f>
        <v>51147126.899999999</v>
      </c>
      <c r="D28" s="46" t="e">
        <f>ROUND(D26+D25+D23,0)</f>
        <v>#VALUE!</v>
      </c>
      <c r="E28" s="46">
        <f>ROUND(E26+E25+E23,0)</f>
        <v>24019707</v>
      </c>
      <c r="F28" s="46" t="e">
        <f>ROUND(F26+F25+F23,0)</f>
        <v>#VALUE!</v>
      </c>
      <c r="G28" s="2">
        <f>E28+C28</f>
        <v>75166833.900000006</v>
      </c>
      <c r="K28" s="8"/>
    </row>
    <row r="29" spans="1:12" x14ac:dyDescent="0.25">
      <c r="A29" s="29"/>
      <c r="B29" s="29"/>
      <c r="C29" s="30"/>
      <c r="D29" s="30">
        <v>0</v>
      </c>
      <c r="E29" s="30">
        <v>0</v>
      </c>
      <c r="F29" s="30">
        <v>0</v>
      </c>
      <c r="K29" s="8"/>
    </row>
    <row r="30" spans="1:12" x14ac:dyDescent="0.25">
      <c r="A30" s="29"/>
      <c r="B30" s="29"/>
      <c r="C30" s="30"/>
      <c r="D30" s="30"/>
      <c r="E30" s="30"/>
      <c r="F30" s="30"/>
      <c r="K30" s="8"/>
    </row>
    <row r="31" spans="1:12" x14ac:dyDescent="0.25">
      <c r="A31" s="29"/>
      <c r="B31" s="29"/>
      <c r="C31" s="30"/>
      <c r="D31" s="30"/>
      <c r="E31" s="30"/>
      <c r="F31" s="30"/>
      <c r="K31" s="8"/>
    </row>
    <row r="32" spans="1:12" x14ac:dyDescent="0.25">
      <c r="A32" s="29"/>
      <c r="B32" s="29"/>
      <c r="C32" s="30"/>
      <c r="D32" s="30"/>
      <c r="E32" s="30"/>
      <c r="F32" s="30"/>
      <c r="K32" s="2"/>
    </row>
    <row r="33" spans="1:22" x14ac:dyDescent="0.25">
      <c r="A33" s="28"/>
      <c r="B33" s="45"/>
      <c r="C33" s="46"/>
      <c r="D33" s="46">
        <f>ROUND(D32,0)</f>
        <v>0</v>
      </c>
      <c r="E33" s="46">
        <f>ROUND(E32,0)</f>
        <v>0</v>
      </c>
      <c r="F33" s="46">
        <f>ROUND(F32,0)</f>
        <v>0</v>
      </c>
    </row>
    <row r="34" spans="1:22" x14ac:dyDescent="0.25">
      <c r="V34">
        <f>32.91+37.7</f>
        <v>70.61</v>
      </c>
    </row>
    <row r="35" spans="1:22" ht="15.75" thickBot="1" x14ac:dyDescent="0.3"/>
    <row r="36" spans="1:22" ht="33.75" thickBot="1" x14ac:dyDescent="0.3">
      <c r="A36" s="47" t="s">
        <v>40</v>
      </c>
      <c r="B36" s="48" t="s">
        <v>41</v>
      </c>
      <c r="C36" s="48" t="s">
        <v>42</v>
      </c>
      <c r="D36" s="48"/>
      <c r="E36" s="48"/>
      <c r="F36" s="48"/>
      <c r="G36" s="48" t="s">
        <v>8</v>
      </c>
    </row>
    <row r="37" spans="1:22" ht="15.75" thickBot="1" x14ac:dyDescent="0.3">
      <c r="A37" s="49" t="s">
        <v>45</v>
      </c>
      <c r="B37" s="49">
        <v>2001</v>
      </c>
      <c r="C37" s="49">
        <f>C28</f>
        <v>51147126.899999999</v>
      </c>
      <c r="D37" s="49"/>
      <c r="E37" s="49"/>
      <c r="F37" s="49"/>
      <c r="G37" s="49" t="e">
        <f>ROUND(F37/E37*C37,0)</f>
        <v>#DIV/0!</v>
      </c>
    </row>
    <row r="38" spans="1:22" ht="15.75" thickBot="1" x14ac:dyDescent="0.3">
      <c r="A38" s="49"/>
      <c r="B38" s="49"/>
      <c r="C38" s="49"/>
      <c r="D38" s="49"/>
      <c r="E38" s="49"/>
      <c r="F38" s="49"/>
      <c r="G38" s="49"/>
    </row>
    <row r="39" spans="1:22" ht="15.75" thickBot="1" x14ac:dyDescent="0.3">
      <c r="A39" s="49"/>
      <c r="B39" s="49"/>
      <c r="C39" s="49"/>
      <c r="D39" s="49"/>
      <c r="E39" s="49"/>
      <c r="F39" s="49"/>
      <c r="G39" s="49"/>
    </row>
    <row r="40" spans="1:22" ht="15.75" thickBot="1" x14ac:dyDescent="0.3">
      <c r="A40" s="49"/>
      <c r="B40" s="49"/>
      <c r="C40" s="49"/>
      <c r="D40" s="49"/>
      <c r="E40" s="49"/>
      <c r="F40" s="49"/>
      <c r="G40" s="50" t="e">
        <f>SUM(G37:G39)</f>
        <v>#DIV/0!</v>
      </c>
    </row>
    <row r="41" spans="1:22" ht="15.75" thickBot="1" x14ac:dyDescent="0.3">
      <c r="A41" s="49"/>
      <c r="B41" s="49"/>
      <c r="C41" s="49"/>
      <c r="D41" s="49"/>
      <c r="E41" s="49"/>
      <c r="F41" s="49"/>
      <c r="G41" s="49"/>
    </row>
    <row r="47" spans="1:22" x14ac:dyDescent="0.25">
      <c r="H47" t="s">
        <v>46</v>
      </c>
    </row>
  </sheetData>
  <mergeCells count="6">
    <mergeCell ref="J16:L16"/>
    <mergeCell ref="A1:C1"/>
    <mergeCell ref="A2:B2"/>
    <mergeCell ref="H4:I4"/>
    <mergeCell ref="L4:M4"/>
    <mergeCell ref="A7:A8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EADC0-899F-45A5-8A14-A3A094D87A7A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I23"/>
  <sheetViews>
    <sheetView workbookViewId="0">
      <selection activeCell="C12" sqref="C12"/>
    </sheetView>
  </sheetViews>
  <sheetFormatPr defaultRowHeight="15" x14ac:dyDescent="0.25"/>
  <sheetData>
    <row r="23" spans="9:9" x14ac:dyDescent="0.25">
      <c r="I23" s="22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101 MM</vt:lpstr>
      <vt:lpstr>102 MM</vt:lpstr>
      <vt:lpstr>301 MM</vt:lpstr>
      <vt:lpstr>302 MM</vt:lpstr>
      <vt:lpstr>701 MM</vt:lpstr>
      <vt:lpstr>702MM</vt:lpstr>
      <vt:lpstr>701-702 Plantina</vt:lpstr>
      <vt:lpstr>Sheet1</vt:lpstr>
      <vt:lpstr>2001-rate</vt:lpstr>
      <vt:lpstr>2002-Rate</vt:lpstr>
      <vt:lpstr>2024-RR</vt:lpstr>
      <vt:lpstr>Cost Index</vt:lpstr>
      <vt:lpstr>Summary</vt:lpstr>
      <vt:lpstr>Measurement  - 701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2024-03-18T08:11:45Z</dcterms:modified>
</cp:coreProperties>
</file>