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Prajakta\July\Shyam\"/>
    </mc:Choice>
  </mc:AlternateContent>
  <bookViews>
    <workbookView xWindow="-120" yWindow="-120" windowWidth="29040" windowHeight="15720" tabRatio="932" activeTab="2"/>
  </bookViews>
  <sheets>
    <sheet name="Depreciation" sheetId="25" r:id="rId1"/>
    <sheet name="Site Measurement" sheetId="24" r:id="rId2"/>
    <sheet name="Calculation" sheetId="23" r:id="rId3"/>
    <sheet name="22-23" sheetId="4" r:id="rId4"/>
    <sheet name="Annexure" sheetId="26" r:id="rId5"/>
    <sheet name="Sheet1" sheetId="13" r:id="rId6"/>
    <sheet name="Sheet2" sheetId="14" r:id="rId7"/>
    <sheet name="Sheet3" sheetId="15" r:id="rId8"/>
    <sheet name="Sheet4" sheetId="16" r:id="rId9"/>
    <sheet name="Sheet5" sheetId="17" r:id="rId10"/>
    <sheet name="Sheet6" sheetId="18" r:id="rId11"/>
    <sheet name="Sheet7" sheetId="19" r:id="rId12"/>
    <sheet name="Sheet8" sheetId="20" r:id="rId13"/>
    <sheet name="Sheet9" sheetId="21" r:id="rId14"/>
    <sheet name="Sheet10" sheetId="22" r:id="rId15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52" i="23" l="1"/>
  <c r="D55" i="23"/>
  <c r="D52" i="23"/>
  <c r="D50" i="23"/>
  <c r="D47" i="23"/>
  <c r="F16" i="23"/>
  <c r="D40" i="23"/>
  <c r="D43" i="23"/>
  <c r="D44" i="23" s="1"/>
  <c r="D45" i="23" s="1"/>
  <c r="D38" i="23"/>
  <c r="D39" i="23" s="1"/>
  <c r="M54" i="23" l="1"/>
  <c r="M53" i="23"/>
  <c r="M52" i="23"/>
  <c r="M50" i="23"/>
  <c r="M47" i="23"/>
  <c r="M55" i="23"/>
  <c r="M40" i="23"/>
  <c r="M43" i="23"/>
  <c r="M44" i="23" s="1"/>
  <c r="M45" i="23" s="1"/>
  <c r="M38" i="23"/>
  <c r="M39" i="23" s="1"/>
  <c r="D54" i="23" l="1"/>
  <c r="D53" i="23"/>
  <c r="J55" i="23"/>
  <c r="K52" i="23"/>
  <c r="I69" i="23"/>
  <c r="I70" i="23" s="1"/>
  <c r="I72" i="23" s="1"/>
  <c r="J72" i="23" s="1"/>
  <c r="J66" i="23"/>
  <c r="K38" i="23"/>
  <c r="J54" i="23"/>
  <c r="J53" i="23"/>
  <c r="J52" i="23"/>
  <c r="J50" i="23"/>
  <c r="J47" i="23"/>
  <c r="J44" i="23"/>
  <c r="J40" i="23"/>
  <c r="I23" i="23"/>
  <c r="J43" i="23"/>
  <c r="J38" i="23"/>
  <c r="J39" i="23" s="1"/>
  <c r="J45" i="23" l="1"/>
  <c r="I33" i="23" l="1"/>
  <c r="G4" i="4"/>
  <c r="V2" i="4" l="1"/>
  <c r="O22" i="23" l="1"/>
  <c r="O24" i="23"/>
  <c r="O26" i="23"/>
  <c r="O27" i="23"/>
  <c r="O18" i="23"/>
  <c r="L84" i="23"/>
  <c r="L23" i="23"/>
  <c r="L10" i="23"/>
  <c r="L11" i="23" s="1"/>
  <c r="L7" i="23"/>
  <c r="L8" i="23" s="1"/>
  <c r="L6" i="23"/>
  <c r="L5" i="23"/>
  <c r="L14" i="23" s="1"/>
  <c r="I84" i="23"/>
  <c r="I7" i="23"/>
  <c r="I8" i="23" s="1"/>
  <c r="I6" i="23"/>
  <c r="I5" i="23"/>
  <c r="I14" i="23" s="1"/>
  <c r="F84" i="23"/>
  <c r="F23" i="23"/>
  <c r="F7" i="23"/>
  <c r="F8" i="23" s="1"/>
  <c r="F6" i="23"/>
  <c r="F5" i="23"/>
  <c r="F14" i="23" s="1"/>
  <c r="K7" i="26"/>
  <c r="K6" i="26"/>
  <c r="K8" i="26"/>
  <c r="K5" i="26"/>
  <c r="T7" i="26"/>
  <c r="T6" i="26"/>
  <c r="T8" i="26"/>
  <c r="T5" i="26"/>
  <c r="P5" i="4"/>
  <c r="I10" i="23" l="1"/>
  <c r="I11" i="23" s="1"/>
  <c r="F10" i="23"/>
  <c r="F11" i="23" s="1"/>
  <c r="F12" i="23" s="1"/>
  <c r="F13" i="23" s="1"/>
  <c r="F19" i="23" s="1"/>
  <c r="L12" i="23"/>
  <c r="L13" i="23" s="1"/>
  <c r="L16" i="23" s="1"/>
  <c r="L19" i="23" s="1"/>
  <c r="I12" i="23"/>
  <c r="I13" i="23" s="1"/>
  <c r="I16" i="23" s="1"/>
  <c r="I19" i="23" s="1"/>
  <c r="T2" i="4"/>
  <c r="L20" i="23" l="1"/>
  <c r="L25" i="23"/>
  <c r="L21" i="23"/>
  <c r="I20" i="23"/>
  <c r="I25" i="23"/>
  <c r="I21" i="23"/>
  <c r="F20" i="23"/>
  <c r="F25" i="23"/>
  <c r="F21" i="23"/>
  <c r="R7" i="26"/>
  <c r="R6" i="26"/>
  <c r="R8" i="26"/>
  <c r="R5" i="26"/>
  <c r="G9" i="26"/>
  <c r="F9" i="26"/>
  <c r="M8" i="26"/>
  <c r="M6" i="26"/>
  <c r="M7" i="26"/>
  <c r="M5" i="26"/>
  <c r="P6" i="26" l="1"/>
  <c r="U6" i="26"/>
  <c r="P8" i="26"/>
  <c r="U8" i="26"/>
  <c r="P5" i="26"/>
  <c r="U5" i="26"/>
  <c r="P7" i="26"/>
  <c r="U7" i="26"/>
  <c r="N5" i="26"/>
  <c r="O5" i="26"/>
  <c r="M9" i="26"/>
  <c r="N8" i="26"/>
  <c r="O8" i="26"/>
  <c r="O6" i="26"/>
  <c r="N6" i="26"/>
  <c r="N7" i="26"/>
  <c r="O7" i="26"/>
  <c r="C5" i="25"/>
  <c r="C4" i="25"/>
  <c r="C3" i="25"/>
  <c r="Q2" i="4"/>
  <c r="B2" i="4" s="1"/>
  <c r="C2" i="4" s="1"/>
  <c r="Q3" i="4"/>
  <c r="B3" i="4" s="1"/>
  <c r="C3" i="4" s="1"/>
  <c r="D3" i="4" s="1"/>
  <c r="Q4" i="4"/>
  <c r="B4" i="4" s="1"/>
  <c r="C4" i="4" s="1"/>
  <c r="D4" i="4" s="1"/>
  <c r="Q5" i="4"/>
  <c r="Q6" i="4"/>
  <c r="B6" i="4" s="1"/>
  <c r="C6" i="4" s="1"/>
  <c r="Q7" i="4"/>
  <c r="B7" i="4" s="1"/>
  <c r="C7" i="4" s="1"/>
  <c r="D7" i="4" s="1"/>
  <c r="Q8" i="4"/>
  <c r="B8" i="4" s="1"/>
  <c r="C8" i="4" s="1"/>
  <c r="D8" i="4" s="1"/>
  <c r="P9" i="4"/>
  <c r="B9" i="4" s="1"/>
  <c r="C9" i="4" s="1"/>
  <c r="D9" i="4" s="1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P11" i="4"/>
  <c r="Q11" i="4" s="1"/>
  <c r="B11" i="4" s="1"/>
  <c r="C11" i="4" s="1"/>
  <c r="D11" i="4" s="1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G11" i="4" l="1"/>
  <c r="H4" i="4"/>
  <c r="O9" i="26"/>
  <c r="N9" i="26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O23" i="23" s="1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O25" i="23" s="1"/>
  <c r="O19" i="23"/>
  <c r="C20" i="23"/>
  <c r="O20" i="23" s="1"/>
  <c r="C21" i="23"/>
  <c r="O21" i="23" s="1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<sst xmlns="http://schemas.openxmlformats.org/spreadsheetml/2006/main" count="227" uniqueCount="130">
  <si>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</si>
  <si>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</si>
  <si>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</si>
  <si>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</si>
  <si>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</si>
  <si>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</si>
  <si>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</si>
  <si>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</si>
  <si>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</si>
  <si>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</si>
  <si>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</si>
  <si>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</si>
  <si>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</si>
  <si>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</si>
  <si>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</si>
  <si>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</si>
  <si>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</si>
  <si>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</si>
  <si>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</si>
  <si>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</si>
  <si>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</si>
  <si>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</si>
  <si>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</si>
  <si>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</si>
  <si>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</si>
  <si>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</si>
  <si>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</si>
  <si>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</si>
  <si>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</si>
  <si>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</si>
  <si>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</si>
  <si>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</si>
  <si>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</si>
  <si>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</si>
  <si>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</si>
  <si>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</si>
  <si>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</si>
  <si>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</si>
  <si>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</si>
  <si>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</si>
  <si>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</si>
  <si>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</si>
  <si>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</si>
  <si>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</si>
  <si>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</si>
  <si>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</si>
  <si>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</si>
  <si>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</si>
  <si>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</si>
  <si>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</si>
  <si>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</si>
  <si>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</si>
  <si>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</si>
  <si>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</si>
  <si>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</si>
  <si>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</si>
  <si>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</si>
  <si>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</si>
  <si>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</si>
  <si>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</si>
  <si>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</si>
  <si>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</si>
  <si>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</si>
  <si>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</si>
  <si>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</si>
  <si>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</si>
  <si>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</si>
  <si>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</si>
  <si>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</si>
  <si>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</si>
  <si>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</si>
  <si>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</si>
  <si>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</si>
  <si>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</si>
  <si>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</si>
  <si>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</si>
  <si>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</si>
  <si>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</si>
  <si>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</si>
  <si>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</si>
  <si>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</si>
  <si>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</si>
  <si>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</si>
  <si>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</si>
  <si>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</si>
  <si>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IGR-21.02.22</t>
  </si>
  <si>
    <t>Client Name</t>
  </si>
  <si>
    <t>Property Address</t>
  </si>
  <si>
    <t>Agreement Value</t>
  </si>
  <si>
    <t>Agreement Date</t>
  </si>
  <si>
    <t>14.12.2017</t>
  </si>
  <si>
    <t>Krishna Rajesh Shah</t>
  </si>
  <si>
    <t>RCC Godown No. 1, Building No. L, Krishna Complex, Village - Val, Taluka - Bhiwandi, District - Thane</t>
  </si>
  <si>
    <t>Previous GV (2017)</t>
  </si>
  <si>
    <t>Rajesh Nanalal Shah</t>
  </si>
  <si>
    <t>RCC Godown No. 1, 2, 3, 4, 5 &amp; 6, Building No. O, Krishna Complex, Village - Val, Taluka - Bhiwandi, District - Thane</t>
  </si>
  <si>
    <t>RCC Godown No. 2, Building No. L, Krishna Complex, Village - Val, Taluka - Bhiwandi, District - Thane</t>
  </si>
  <si>
    <t>Total Value</t>
  </si>
  <si>
    <t>RCC Godown No. 7 &amp; 8, Building No. O, Krishna Complex, Village - Val, Taluka - Bhiwandi, District - Thane</t>
  </si>
  <si>
    <t>Chirag Haria - Agent - 8983204091 - Rs. 2000 to Rs. 3000 per Sq. Ft. on BUA</t>
  </si>
  <si>
    <t>IGR-31.01.24</t>
  </si>
  <si>
    <t>IGR-09.06.23</t>
  </si>
  <si>
    <t>Already Mortgaged Other Gala with Hero Fincorp Ltd.</t>
  </si>
  <si>
    <t>Already Mortgaged Other Gala with Janta Sahakari Bank</t>
  </si>
  <si>
    <t>IGR-02.06.23</t>
  </si>
  <si>
    <t>Leave &amp; License</t>
  </si>
  <si>
    <t>IGR-13.09.23</t>
  </si>
  <si>
    <t>Rent</t>
  </si>
  <si>
    <t>Loadin on BUA</t>
  </si>
  <si>
    <t>Gala No.</t>
  </si>
  <si>
    <t>1, 2, 3, 4, 5 &amp; 6</t>
  </si>
  <si>
    <t>7 &amp; 8</t>
  </si>
  <si>
    <t>YOC - 2010 - APPROX</t>
  </si>
  <si>
    <t>Plan</t>
  </si>
  <si>
    <t>Not Provided</t>
  </si>
  <si>
    <t>Provided</t>
  </si>
  <si>
    <t>Current Year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</si>
  <si>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</si>
  <si>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</si>
  <si>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</si>
  <si>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</si>
  <si>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</si>
  <si>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</si>
  <si>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Area</t>
  </si>
  <si>
    <t>Value of the property</t>
  </si>
  <si>
    <t>(Area * Rate)</t>
  </si>
  <si>
    <t>Depreciated Fair Market Value</t>
  </si>
  <si>
    <t>Realisable</t>
  </si>
  <si>
    <t xml:space="preserve">Distress </t>
  </si>
  <si>
    <t>Rental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</si>
</sst>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10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0" fillId="0" borderId="0" xfId="0" applyAlignment="1">
      <alignment vertical="center" wrapText="1"/>
    </xf>
    <xf numFmtId="0" fontId="0" fillId="0" borderId="8" xfId="0" applyBorder="1" applyAlignment="1">
      <alignment vertical="center" wrapText="1"/>
    </xf>
    <xf numFmtId="0" fontId="2" fillId="0" borderId="8" xfId="0" applyFont="1" applyBorder="1" applyAlignment="1">
      <alignment horizontal="center" vertical="center" wrapText="1"/>
    </xf>
    <xf numFmtId="43" fontId="2" fillId="0" borderId="8" xfId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43" fontId="0" fillId="0" borderId="8" xfId="1" applyFont="1" applyBorder="1" applyAlignment="1">
      <alignment vertical="center" wrapText="1"/>
    </xf>
    <xf numFmtId="43" fontId="2" fillId="0" borderId="8" xfId="1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43" fontId="0" fillId="0" borderId="0" xfId="1" applyFont="1" applyAlignment="1">
      <alignment vertical="center" wrapText="1"/>
    </xf>
    <xf numFmtId="43" fontId="0" fillId="0" borderId="0" xfId="0" applyNumberFormat="1" applyAlignment="1">
      <alignment vertical="center" wrapText="1"/>
    </xf>
    <xf numFmtId="0" fontId="0" fillId="0" borderId="8" xfId="1" applyNumberFormat="1" applyFont="1" applyBorder="1" applyAlignment="1">
      <alignment horizontal="center" vertical="center" wrapText="1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43" fontId="0" fillId="0" borderId="8" xfId="0" applyNumberFormat="1" applyBorder="1"/>
    <xf numFmtId="10" fontId="0" fillId="0" borderId="8" xfId="0" applyNumberFormat="1" applyBorder="1"/>
    <xf numFmtId="0" fontId="0" fillId="5" borderId="8" xfId="0" applyFill="1" applyBorder="1"/>
    <xf numFmtId="43" fontId="0" fillId="5" borderId="8" xfId="0" applyNumberFormat="1" applyFill="1" applyBorder="1"/>
    <xf numFmtId="43" fontId="5" fillId="0" borderId="0" xfId="1" applyFont="1"/>
    <xf numFmtId="165" fontId="0" fillId="0" borderId="0" xfId="1" applyNumberFormat="1" applyFont="1"/>
    <xf numFmtId="0" fontId="10" fillId="0" borderId="8" xfId="0" applyFont="1" applyBorder="1" applyAlignment="1">
      <alignment horizontal="center"/>
    </xf>
    <xf numFmtId="0" fontId="2" fillId="0" borderId="9" xfId="0" applyFont="1" applyBorder="1" applyAlignment="1">
      <alignment horizontal="right" vertical="center" wrapText="1"/>
    </xf>
    <xf numFmtId="0" fontId="2" fillId="0" borderId="10" xfId="0" applyFont="1" applyBorder="1" applyAlignment="1">
      <alignment horizontal="right" vertical="center" wrapText="1"/>
    </xf>
    <xf numFmtId="0" fontId="2" fillId="0" borderId="11" xfId="0" applyFont="1" applyBorder="1" applyAlignment="1">
      <alignment horizontal="right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14EE66-F813-45C4-8A98-817E82A48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420860</xdr:colOff>
      <xdr:row>45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F3A745-8066-41B5-BC02-F97D73740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12860" cy="8592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383265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A82075-2306-46AC-B2CA-8CE2B692C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32865" cy="89261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525905</xdr:colOff>
      <xdr:row>44</xdr:row>
      <xdr:rowOff>172644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7965CBA-E68E-4282-858D-B316BA179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46705" cy="8554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6CECD1-F326-4306-AC3E-1228749C6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B37ECB-CF54-4791-90D9-5C62871BE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8909C3-A1C2-43EC-9195-89B657E57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B0066E-0727-4E03-BEBD-AE989CDE1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583318</xdr:colOff>
      <xdr:row>47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58454C-F029-4303-B472-4599CC216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432918" cy="89547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354686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F0EC90-35DD-4D2F-B318-8E3ADAC1F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04286" cy="89261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78</v>
      </c>
      <c r="C3" s="53">
        <f>374860*0.85</f>
        <v>318631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84</v>
      </c>
      <c r="C4" s="53">
        <f>C3*10%</f>
        <v>31863.100000000002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79</v>
      </c>
      <c r="C5" s="58">
        <f>C3+C4</f>
        <v>350494.1</v>
      </c>
      <c r="D5" s="59" t="s">
        <v>62</v>
      </c>
      <c r="E5" s="60">
        <f>C5/10.764</f>
        <v>32561.696395392046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80</v>
      </c>
      <c r="C6" s="53">
        <v>29400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81</v>
      </c>
      <c r="C7" s="53">
        <f>C5-C6</f>
        <v>321094.09999999998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82</v>
      </c>
      <c r="C8" s="53">
        <f>C7*D13%</f>
        <v>276140.92599999998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83</v>
      </c>
      <c r="C9" s="58">
        <f>C6+C8</f>
        <v>305540.92599999998</v>
      </c>
      <c r="D9" s="59" t="s">
        <v>62</v>
      </c>
      <c r="E9" s="60">
        <f>C9/10.764</f>
        <v>28385.444630248978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2024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2010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14</v>
      </c>
      <c r="D13" s="66">
        <f>D12-C13</f>
        <v>86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workbookViewId="0">
      <selection activeCell="A3" sqref="A3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97"/>
      <c r="L1" s="97"/>
      <c r="M1" s="97"/>
      <c r="N1" s="97"/>
      <c r="O1" s="97"/>
      <c r="P1" s="97"/>
      <c r="Q1" s="97"/>
      <c r="R1" s="97"/>
    </row>
    <row r="2" spans="1:23" ht="16.5" x14ac:dyDescent="0.3">
      <c r="A2" s="39">
        <v>90</v>
      </c>
      <c r="B2" s="39">
        <v>0</v>
      </c>
      <c r="C2" s="39">
        <v>170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90</v>
      </c>
      <c r="H2" s="40">
        <f t="shared" ref="H2:H30" si="3">C2+F2</f>
        <v>170</v>
      </c>
      <c r="I2" s="41">
        <f t="shared" ref="I2:I22" si="4">G2*H2</f>
        <v>15300</v>
      </c>
      <c r="J2" s="41">
        <f>I2</f>
        <v>15300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15300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15300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15300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15300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15300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15300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15300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15300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15300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15300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15300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15300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15300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15300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15300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15300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15300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15300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15300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15300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15300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15300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15300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15300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15300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15300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15300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15300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4"/>
  <sheetViews>
    <sheetView tabSelected="1" topLeftCell="B37" workbookViewId="0">
      <selection activeCell="E52" sqref="E52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28.42578125" style="16" bestFit="1" customWidth="1"/>
    <col min="4" max="4" width="14.28515625" style="16" bestFit="1" customWidth="1"/>
    <col min="5" max="5" width="14.28515625" bestFit="1" customWidth="1"/>
    <col min="6" max="6" width="17.140625" style="16" customWidth="1"/>
    <col min="7" max="7" width="12.5703125" style="16" bestFit="1" customWidth="1"/>
    <col min="8" max="8" width="14.28515625" bestFit="1" customWidth="1"/>
    <col min="9" max="9" width="28.42578125" style="16" bestFit="1" customWidth="1"/>
    <col min="10" max="10" width="14.28515625" style="16" bestFit="1" customWidth="1"/>
    <col min="11" max="11" width="14.28515625" bestFit="1" customWidth="1"/>
    <col min="12" max="12" width="17.140625" style="16" customWidth="1"/>
    <col min="13" max="13" width="14.28515625" style="16" bestFit="1" customWidth="1"/>
    <col min="14" max="14" width="14.28515625" bestFit="1" customWidth="1"/>
  </cols>
  <sheetData>
    <row r="1" spans="1:14" x14ac:dyDescent="0.25">
      <c r="A1" s="11"/>
      <c r="B1" s="12"/>
      <c r="C1" s="13"/>
      <c r="D1" s="14"/>
      <c r="F1" s="13"/>
      <c r="G1" s="14"/>
      <c r="I1" s="13"/>
      <c r="J1" s="14"/>
      <c r="L1" s="13"/>
      <c r="M1" s="14"/>
    </row>
    <row r="2" spans="1:14" x14ac:dyDescent="0.25">
      <c r="A2" s="15"/>
      <c r="D2" s="17"/>
      <c r="G2" s="17"/>
      <c r="J2" s="17"/>
      <c r="M2" s="17"/>
    </row>
    <row r="3" spans="1:14" x14ac:dyDescent="0.25">
      <c r="A3" s="15" t="s">
        <v>13</v>
      </c>
      <c r="B3" s="18"/>
      <c r="C3" s="19">
        <v>2150</v>
      </c>
      <c r="D3" s="22" t="s">
        <v>76</v>
      </c>
      <c r="E3" s="6" t="s">
        <v>77</v>
      </c>
      <c r="F3" s="19">
        <v>2150</v>
      </c>
      <c r="G3" s="22" t="s">
        <v>76</v>
      </c>
      <c r="H3" s="6" t="s">
        <v>77</v>
      </c>
      <c r="I3" s="19">
        <v>3150</v>
      </c>
      <c r="J3" s="22" t="s">
        <v>76</v>
      </c>
      <c r="K3" s="6" t="s">
        <v>77</v>
      </c>
      <c r="L3" s="19">
        <v>3150</v>
      </c>
      <c r="M3" s="22" t="s">
        <v>76</v>
      </c>
      <c r="N3" s="6" t="s">
        <v>77</v>
      </c>
    </row>
    <row r="4" spans="1:14" ht="30" x14ac:dyDescent="0.25">
      <c r="A4" s="21" t="s">
        <v>14</v>
      </c>
      <c r="B4" s="18"/>
      <c r="C4" s="19">
        <v>2000</v>
      </c>
      <c r="D4" s="22"/>
      <c r="F4" s="19">
        <v>2000</v>
      </c>
      <c r="G4" s="22"/>
      <c r="I4" s="19">
        <v>2000</v>
      </c>
      <c r="J4" s="22"/>
      <c r="L4" s="19">
        <v>2000</v>
      </c>
      <c r="M4" s="22"/>
    </row>
    <row r="5" spans="1:14" x14ac:dyDescent="0.25">
      <c r="A5" s="15" t="s">
        <v>15</v>
      </c>
      <c r="B5" s="18"/>
      <c r="C5" s="19">
        <f>C3-C4</f>
        <v>150</v>
      </c>
      <c r="D5" s="22"/>
      <c r="F5" s="19">
        <f>F3-F4</f>
        <v>150</v>
      </c>
      <c r="G5" s="22"/>
      <c r="I5" s="19">
        <f>I3-I4</f>
        <v>1150</v>
      </c>
      <c r="J5" s="22"/>
      <c r="L5" s="19">
        <f>L3-L4</f>
        <v>1150</v>
      </c>
      <c r="M5" s="22"/>
    </row>
    <row r="6" spans="1:14" x14ac:dyDescent="0.25">
      <c r="A6" s="15" t="s">
        <v>16</v>
      </c>
      <c r="B6" s="18"/>
      <c r="C6" s="19">
        <f>C4</f>
        <v>2000</v>
      </c>
      <c r="D6" s="22"/>
      <c r="F6" s="19">
        <f>F4</f>
        <v>2000</v>
      </c>
      <c r="G6" s="22"/>
      <c r="I6" s="19">
        <f>I4</f>
        <v>2000</v>
      </c>
      <c r="J6" s="22"/>
      <c r="L6" s="19">
        <f>L4</f>
        <v>2000</v>
      </c>
      <c r="M6" s="22"/>
    </row>
    <row r="7" spans="1:14" x14ac:dyDescent="0.25">
      <c r="A7" s="15" t="s">
        <v>17</v>
      </c>
      <c r="B7" s="23"/>
      <c r="C7" s="24">
        <f>D7-D8</f>
        <v>14</v>
      </c>
      <c r="D7" s="24">
        <v>2024</v>
      </c>
      <c r="F7" s="24">
        <f>G7-G8</f>
        <v>14</v>
      </c>
      <c r="G7" s="24">
        <v>2024</v>
      </c>
      <c r="I7" s="24">
        <f>J7-J8</f>
        <v>14</v>
      </c>
      <c r="J7" s="24">
        <v>2024</v>
      </c>
      <c r="L7" s="24">
        <f>M7-M8</f>
        <v>14</v>
      </c>
      <c r="M7" s="24">
        <v>2024</v>
      </c>
    </row>
    <row r="8" spans="1:14" x14ac:dyDescent="0.25">
      <c r="A8" s="15" t="s">
        <v>18</v>
      </c>
      <c r="B8" s="23"/>
      <c r="C8" s="24">
        <f>C9-C7</f>
        <v>46</v>
      </c>
      <c r="D8" s="24">
        <v>2010</v>
      </c>
      <c r="F8" s="24">
        <f>F9-F7</f>
        <v>46</v>
      </c>
      <c r="G8" s="24">
        <v>2010</v>
      </c>
      <c r="I8" s="24">
        <f>I9-I7</f>
        <v>46</v>
      </c>
      <c r="J8" s="24">
        <v>2010</v>
      </c>
      <c r="L8" s="24">
        <f>L9-L7</f>
        <v>46</v>
      </c>
      <c r="M8" s="24">
        <v>2010</v>
      </c>
    </row>
    <row r="9" spans="1:14" x14ac:dyDescent="0.25">
      <c r="A9" s="15" t="s">
        <v>19</v>
      </c>
      <c r="B9" s="23"/>
      <c r="C9" s="24">
        <v>60</v>
      </c>
      <c r="D9" s="24"/>
      <c r="F9" s="24">
        <v>60</v>
      </c>
      <c r="G9" s="24"/>
      <c r="I9" s="24">
        <v>60</v>
      </c>
      <c r="J9" s="24"/>
      <c r="L9" s="24">
        <v>60</v>
      </c>
      <c r="M9" s="24"/>
    </row>
    <row r="10" spans="1:14" ht="30" x14ac:dyDescent="0.25">
      <c r="A10" s="21" t="s">
        <v>20</v>
      </c>
      <c r="B10" s="23"/>
      <c r="C10" s="24">
        <f>90*C7/C9</f>
        <v>21</v>
      </c>
      <c r="D10" s="24"/>
      <c r="F10" s="24">
        <f>90*F7/F9</f>
        <v>21</v>
      </c>
      <c r="G10" s="24"/>
      <c r="I10" s="24">
        <f>90*I7/I9</f>
        <v>21</v>
      </c>
      <c r="J10" s="24"/>
      <c r="L10" s="24">
        <f>90*L7/L9</f>
        <v>21</v>
      </c>
      <c r="M10" s="24"/>
    </row>
    <row r="11" spans="1:14" x14ac:dyDescent="0.25">
      <c r="A11" s="15"/>
      <c r="B11" s="25"/>
      <c r="C11" s="26">
        <f>C10%</f>
        <v>0.21</v>
      </c>
      <c r="D11" s="26"/>
      <c r="F11" s="26">
        <f>F10%</f>
        <v>0.21</v>
      </c>
      <c r="G11" s="26"/>
      <c r="I11" s="26">
        <f>I10%</f>
        <v>0.21</v>
      </c>
      <c r="J11" s="26"/>
      <c r="L11" s="26">
        <f>L10%</f>
        <v>0.21</v>
      </c>
      <c r="M11" s="26"/>
    </row>
    <row r="12" spans="1:14" x14ac:dyDescent="0.25">
      <c r="A12" s="15" t="s">
        <v>21</v>
      </c>
      <c r="B12" s="18"/>
      <c r="C12" s="19">
        <f>C6*C11</f>
        <v>420</v>
      </c>
      <c r="D12" s="22"/>
      <c r="F12" s="19">
        <f>F6*F11</f>
        <v>420</v>
      </c>
      <c r="G12" s="22"/>
      <c r="I12" s="19">
        <f>I6*I11</f>
        <v>420</v>
      </c>
      <c r="J12" s="22"/>
      <c r="L12" s="19">
        <f>L6*L11</f>
        <v>420</v>
      </c>
      <c r="M12" s="22"/>
    </row>
    <row r="13" spans="1:14" x14ac:dyDescent="0.25">
      <c r="A13" s="15" t="s">
        <v>22</v>
      </c>
      <c r="B13" s="18"/>
      <c r="C13" s="19">
        <f>C6-C12</f>
        <v>1580</v>
      </c>
      <c r="D13" s="22"/>
      <c r="F13" s="19">
        <f>F6-F12</f>
        <v>1580</v>
      </c>
      <c r="G13" s="22"/>
      <c r="I13" s="19">
        <f>I6-I12</f>
        <v>1580</v>
      </c>
      <c r="J13" s="22"/>
      <c r="L13" s="19">
        <f>L6-L12</f>
        <v>1580</v>
      </c>
      <c r="M13" s="22"/>
    </row>
    <row r="14" spans="1:14" x14ac:dyDescent="0.25">
      <c r="A14" s="15" t="s">
        <v>15</v>
      </c>
      <c r="B14" s="18"/>
      <c r="C14" s="19">
        <f>C5</f>
        <v>150</v>
      </c>
      <c r="D14" s="22"/>
      <c r="F14" s="19">
        <f>F5</f>
        <v>150</v>
      </c>
      <c r="G14" s="22"/>
      <c r="I14" s="19">
        <f>I5</f>
        <v>1150</v>
      </c>
      <c r="J14" s="22"/>
      <c r="L14" s="19">
        <f>L5</f>
        <v>1150</v>
      </c>
      <c r="M14" s="22"/>
    </row>
    <row r="15" spans="1:14" x14ac:dyDescent="0.25">
      <c r="B15" s="18"/>
      <c r="C15" s="19"/>
      <c r="D15" s="22"/>
      <c r="F15" s="19"/>
      <c r="G15" s="22"/>
      <c r="I15" s="19"/>
      <c r="J15" s="22"/>
      <c r="L15" s="19"/>
      <c r="M15" s="22"/>
    </row>
    <row r="16" spans="1:14" x14ac:dyDescent="0.25">
      <c r="A16" s="27" t="s">
        <v>23</v>
      </c>
      <c r="B16" s="28"/>
      <c r="C16" s="20">
        <f>C14+C13</f>
        <v>1730</v>
      </c>
      <c r="D16" s="22"/>
      <c r="F16" s="20">
        <f>F14+F13</f>
        <v>1730</v>
      </c>
      <c r="G16" s="22"/>
      <c r="I16" s="20">
        <f>I14+I13</f>
        <v>2730</v>
      </c>
      <c r="J16" s="22"/>
      <c r="L16" s="20">
        <f>L14+L13</f>
        <v>2730</v>
      </c>
      <c r="M16" s="22"/>
    </row>
    <row r="17" spans="1:15" x14ac:dyDescent="0.25">
      <c r="A17" t="s">
        <v>109</v>
      </c>
      <c r="B17" s="23"/>
      <c r="C17" s="24">
        <v>1</v>
      </c>
      <c r="D17" s="24"/>
      <c r="F17" s="24">
        <v>2</v>
      </c>
      <c r="G17" s="24"/>
      <c r="I17" s="24" t="s">
        <v>110</v>
      </c>
      <c r="J17" s="24"/>
      <c r="L17" s="24" t="s">
        <v>111</v>
      </c>
      <c r="M17" s="24"/>
    </row>
    <row r="18" spans="1:15" x14ac:dyDescent="0.25">
      <c r="A18" s="72" t="str">
        <f>E3</f>
        <v>BUA</v>
      </c>
      <c r="B18" s="7"/>
      <c r="C18" s="29">
        <v>3125</v>
      </c>
      <c r="D18" s="24"/>
      <c r="F18" s="29">
        <v>3125</v>
      </c>
      <c r="G18" s="24"/>
      <c r="I18" s="29">
        <v>16875</v>
      </c>
      <c r="J18" s="24"/>
      <c r="L18" s="29">
        <v>4513</v>
      </c>
      <c r="M18" s="24"/>
      <c r="O18">
        <f>L18+I18+F18+C18</f>
        <v>27638</v>
      </c>
    </row>
    <row r="19" spans="1:15" x14ac:dyDescent="0.25">
      <c r="A19" s="15" t="s">
        <v>74</v>
      </c>
      <c r="B19" s="6"/>
      <c r="C19" s="30">
        <f>C18*C16</f>
        <v>5406250</v>
      </c>
      <c r="D19" s="31"/>
      <c r="E19" s="66"/>
      <c r="F19" s="30">
        <f>F18*F16</f>
        <v>5406250</v>
      </c>
      <c r="G19" s="31"/>
      <c r="H19" s="66"/>
      <c r="I19" s="30">
        <f>I18*I16</f>
        <v>46068750</v>
      </c>
      <c r="J19" s="31"/>
      <c r="K19" s="66"/>
      <c r="L19" s="30">
        <f>L18*L16</f>
        <v>12320490</v>
      </c>
      <c r="M19" s="31"/>
      <c r="N19" s="66"/>
      <c r="O19">
        <f t="shared" ref="O19:O27" si="0">L19+I19+F19+C19</f>
        <v>69201740</v>
      </c>
    </row>
    <row r="20" spans="1:15" x14ac:dyDescent="0.25">
      <c r="A20" s="15" t="s">
        <v>24</v>
      </c>
      <c r="C20" s="32">
        <f>C19*90%</f>
        <v>4865625</v>
      </c>
      <c r="D20" s="30"/>
      <c r="F20" s="32">
        <f>F19*90%</f>
        <v>4865625</v>
      </c>
      <c r="G20" s="30"/>
      <c r="I20" s="32">
        <f>I19*90%</f>
        <v>41461875</v>
      </c>
      <c r="J20" s="30"/>
      <c r="L20" s="32">
        <f>L19*90%</f>
        <v>11088441</v>
      </c>
      <c r="M20" s="30"/>
      <c r="O20">
        <f t="shared" si="0"/>
        <v>62281566</v>
      </c>
    </row>
    <row r="21" spans="1:15" x14ac:dyDescent="0.25">
      <c r="A21" s="15" t="s">
        <v>25</v>
      </c>
      <c r="C21" s="32">
        <f>C19*80%</f>
        <v>4325000</v>
      </c>
      <c r="D21" s="32"/>
      <c r="F21" s="32">
        <f>F19*80%</f>
        <v>4325000</v>
      </c>
      <c r="G21" s="32"/>
      <c r="I21" s="32">
        <f>I19*80%</f>
        <v>36855000</v>
      </c>
      <c r="J21" s="32"/>
      <c r="L21" s="32">
        <f>L19*80%</f>
        <v>9856392</v>
      </c>
      <c r="M21" s="32"/>
      <c r="O21">
        <f t="shared" si="0"/>
        <v>55361392</v>
      </c>
    </row>
    <row r="22" spans="1:15" x14ac:dyDescent="0.25">
      <c r="A22" s="15"/>
      <c r="D22" s="24"/>
      <c r="G22" s="24"/>
      <c r="J22" s="24"/>
      <c r="M22" s="24"/>
      <c r="O22">
        <f t="shared" si="0"/>
        <v>0</v>
      </c>
    </row>
    <row r="23" spans="1:15" x14ac:dyDescent="0.25">
      <c r="A23" s="33" t="s">
        <v>26</v>
      </c>
      <c r="B23" s="34"/>
      <c r="C23" s="35">
        <f>C4*C18</f>
        <v>6250000</v>
      </c>
      <c r="D23" s="35"/>
      <c r="F23" s="35">
        <f>F4*F18</f>
        <v>6250000</v>
      </c>
      <c r="G23" s="35"/>
      <c r="I23" s="35">
        <f>I4*I18</f>
        <v>33750000</v>
      </c>
      <c r="J23" s="35"/>
      <c r="L23" s="35">
        <f>L4*L18</f>
        <v>9026000</v>
      </c>
      <c r="M23" s="35"/>
      <c r="O23">
        <f t="shared" si="0"/>
        <v>55276000</v>
      </c>
    </row>
    <row r="24" spans="1:15" x14ac:dyDescent="0.25">
      <c r="A24" s="15" t="s">
        <v>27</v>
      </c>
      <c r="O24">
        <f t="shared" si="0"/>
        <v>0</v>
      </c>
    </row>
    <row r="25" spans="1:15" x14ac:dyDescent="0.25">
      <c r="A25" s="36" t="s">
        <v>28</v>
      </c>
      <c r="B25" s="16"/>
      <c r="C25" s="32">
        <f>C19*0.025/12</f>
        <v>11263.020833333334</v>
      </c>
      <c r="D25" s="32"/>
      <c r="F25" s="32">
        <f>F19*0.025/12</f>
        <v>11263.020833333334</v>
      </c>
      <c r="G25" s="32"/>
      <c r="I25" s="32">
        <f>I19*0.025/12</f>
        <v>95976.5625</v>
      </c>
      <c r="J25" s="32"/>
      <c r="L25" s="32">
        <f>L19*0.025/12</f>
        <v>25667.6875</v>
      </c>
      <c r="M25" s="32"/>
      <c r="O25">
        <f t="shared" si="0"/>
        <v>144170.29166666669</v>
      </c>
    </row>
    <row r="26" spans="1:15" x14ac:dyDescent="0.25">
      <c r="C26" s="32"/>
      <c r="D26" s="32"/>
      <c r="F26" s="32"/>
      <c r="G26" s="32"/>
      <c r="I26" s="32"/>
      <c r="J26" s="32"/>
      <c r="L26" s="32"/>
      <c r="M26" s="32"/>
      <c r="O26">
        <f t="shared" si="0"/>
        <v>0</v>
      </c>
    </row>
    <row r="27" spans="1:15" x14ac:dyDescent="0.25">
      <c r="C27" s="32"/>
      <c r="D27" s="32"/>
      <c r="F27" s="32"/>
      <c r="G27" s="32"/>
      <c r="I27" s="32"/>
      <c r="J27" s="32"/>
      <c r="L27" s="32"/>
      <c r="M27" s="32"/>
      <c r="O27">
        <f t="shared" si="0"/>
        <v>0</v>
      </c>
    </row>
    <row r="28" spans="1:15" x14ac:dyDescent="0.25">
      <c r="C28"/>
      <c r="D28"/>
      <c r="F28"/>
      <c r="G28"/>
      <c r="I28"/>
      <c r="J28"/>
      <c r="L28"/>
      <c r="M28"/>
    </row>
    <row r="29" spans="1:15" x14ac:dyDescent="0.25">
      <c r="C29"/>
      <c r="D29"/>
      <c r="F29"/>
      <c r="G29"/>
      <c r="I29"/>
      <c r="J29"/>
      <c r="L29"/>
      <c r="M29"/>
    </row>
    <row r="30" spans="1:15" x14ac:dyDescent="0.25">
      <c r="C30"/>
      <c r="D30"/>
      <c r="F30"/>
      <c r="G30"/>
      <c r="I30"/>
      <c r="J30"/>
      <c r="L30"/>
      <c r="M30"/>
    </row>
    <row r="31" spans="1:15" x14ac:dyDescent="0.25">
      <c r="C31"/>
      <c r="D31"/>
      <c r="F31"/>
      <c r="G31"/>
      <c r="I31"/>
      <c r="J31"/>
      <c r="L31"/>
      <c r="M31"/>
    </row>
    <row r="32" spans="1:15" x14ac:dyDescent="0.25">
      <c r="C32"/>
      <c r="D32"/>
      <c r="F32"/>
      <c r="G32"/>
      <c r="I32">
        <v>1568.31</v>
      </c>
      <c r="J32"/>
      <c r="L32"/>
      <c r="M32"/>
    </row>
    <row r="33" spans="1:13" x14ac:dyDescent="0.25">
      <c r="C33"/>
      <c r="D33"/>
      <c r="F33"/>
      <c r="G33"/>
      <c r="I33">
        <f>I32*10.764</f>
        <v>16881.288839999997</v>
      </c>
      <c r="J33"/>
      <c r="L33"/>
      <c r="M33"/>
    </row>
    <row r="34" spans="1:13" x14ac:dyDescent="0.25">
      <c r="C34"/>
      <c r="D34"/>
      <c r="F34"/>
      <c r="G34"/>
      <c r="I34"/>
      <c r="J34"/>
      <c r="L34"/>
      <c r="M34"/>
    </row>
    <row r="35" spans="1:13" x14ac:dyDescent="0.25">
      <c r="C35"/>
      <c r="F35"/>
      <c r="G35"/>
      <c r="I35"/>
      <c r="J35"/>
      <c r="L35"/>
      <c r="M35"/>
    </row>
    <row r="36" spans="1:13" x14ac:dyDescent="0.25">
      <c r="C36" s="42" t="s">
        <v>116</v>
      </c>
      <c r="D36" s="42">
        <v>2024</v>
      </c>
      <c r="F36"/>
      <c r="G36"/>
      <c r="I36" s="42" t="s">
        <v>116</v>
      </c>
      <c r="J36" s="42">
        <v>2024</v>
      </c>
      <c r="L36" s="42" t="s">
        <v>116</v>
      </c>
      <c r="M36" s="42">
        <v>2024</v>
      </c>
    </row>
    <row r="37" spans="1:13" x14ac:dyDescent="0.25">
      <c r="C37" s="42" t="s">
        <v>69</v>
      </c>
      <c r="D37" s="42">
        <v>2010</v>
      </c>
      <c r="F37"/>
      <c r="G37"/>
      <c r="I37" s="42" t="s">
        <v>69</v>
      </c>
      <c r="J37" s="42">
        <v>2010</v>
      </c>
      <c r="L37" s="42" t="s">
        <v>69</v>
      </c>
      <c r="M37" s="42">
        <v>2010</v>
      </c>
    </row>
    <row r="38" spans="1:13" x14ac:dyDescent="0.25">
      <c r="C38" s="42" t="s">
        <v>117</v>
      </c>
      <c r="D38" s="42">
        <f>D36-D37</f>
        <v>14</v>
      </c>
      <c r="F38"/>
      <c r="G38"/>
      <c r="I38" s="42" t="s">
        <v>117</v>
      </c>
      <c r="J38" s="42">
        <f>J36-J37</f>
        <v>14</v>
      </c>
      <c r="K38">
        <f>100-J38</f>
        <v>86</v>
      </c>
      <c r="L38" s="42" t="s">
        <v>117</v>
      </c>
      <c r="M38" s="42">
        <f>M36-M37</f>
        <v>14</v>
      </c>
    </row>
    <row r="39" spans="1:13" x14ac:dyDescent="0.25">
      <c r="C39" s="42"/>
      <c r="D39" s="42">
        <f>60-D38</f>
        <v>46</v>
      </c>
      <c r="F39"/>
      <c r="G39"/>
      <c r="I39" s="42"/>
      <c r="J39" s="42">
        <f>60-J38</f>
        <v>46</v>
      </c>
      <c r="L39" s="42"/>
      <c r="M39" s="42">
        <f>60-M38</f>
        <v>46</v>
      </c>
    </row>
    <row r="40" spans="1:13" x14ac:dyDescent="0.25">
      <c r="C40" s="42" t="s">
        <v>118</v>
      </c>
      <c r="D40" s="91">
        <f>3125*2000</f>
        <v>6250000</v>
      </c>
      <c r="F40"/>
      <c r="G40"/>
      <c r="I40" s="42" t="s">
        <v>118</v>
      </c>
      <c r="J40" s="91">
        <f>16875*2000</f>
        <v>33750000</v>
      </c>
      <c r="L40" s="42" t="s">
        <v>118</v>
      </c>
      <c r="M40" s="91">
        <f>4513*2000</f>
        <v>9026000</v>
      </c>
    </row>
    <row r="41" spans="1:13" x14ac:dyDescent="0.25">
      <c r="C41" s="42" t="s">
        <v>119</v>
      </c>
      <c r="D41" s="42"/>
      <c r="I41" s="42" t="s">
        <v>119</v>
      </c>
      <c r="J41" s="42"/>
      <c r="L41" s="42" t="s">
        <v>119</v>
      </c>
      <c r="M41" s="42"/>
    </row>
    <row r="42" spans="1:13" x14ac:dyDescent="0.25">
      <c r="C42" s="42"/>
      <c r="D42" s="42"/>
      <c r="I42" s="42"/>
      <c r="J42" s="42"/>
      <c r="L42" s="42"/>
      <c r="M42" s="42"/>
    </row>
    <row r="43" spans="1:13" x14ac:dyDescent="0.25">
      <c r="C43" s="42" t="s">
        <v>120</v>
      </c>
      <c r="D43" s="42">
        <f>100-10</f>
        <v>90</v>
      </c>
      <c r="I43" s="42" t="s">
        <v>120</v>
      </c>
      <c r="J43" s="42">
        <f>100-10</f>
        <v>90</v>
      </c>
      <c r="L43" s="42" t="s">
        <v>120</v>
      </c>
      <c r="M43" s="42">
        <f>100-10</f>
        <v>90</v>
      </c>
    </row>
    <row r="44" spans="1:13" x14ac:dyDescent="0.25">
      <c r="C44" s="42" t="s">
        <v>121</v>
      </c>
      <c r="D44" s="42">
        <f>D43*D38/60</f>
        <v>21</v>
      </c>
      <c r="I44" s="42" t="s">
        <v>121</v>
      </c>
      <c r="J44" s="42">
        <f>J43*J38/60</f>
        <v>21</v>
      </c>
      <c r="L44" s="42" t="s">
        <v>121</v>
      </c>
      <c r="M44" s="42">
        <f>M43*M38/60</f>
        <v>21</v>
      </c>
    </row>
    <row r="45" spans="1:13" x14ac:dyDescent="0.25">
      <c r="C45" s="42"/>
      <c r="D45" s="92">
        <f>D44%</f>
        <v>0.21</v>
      </c>
      <c r="I45" s="42"/>
      <c r="J45" s="92">
        <f>J44%</f>
        <v>0.21</v>
      </c>
      <c r="L45" s="42"/>
      <c r="M45" s="92">
        <f>M44%</f>
        <v>0.21</v>
      </c>
    </row>
    <row r="46" spans="1:13" x14ac:dyDescent="0.25">
      <c r="A46" s="37"/>
      <c r="C46" s="42"/>
      <c r="D46" s="42"/>
      <c r="I46" s="42"/>
      <c r="J46" s="42"/>
      <c r="L46" s="42"/>
      <c r="M46" s="42"/>
    </row>
    <row r="47" spans="1:13" x14ac:dyDescent="0.25">
      <c r="C47" s="42" t="s">
        <v>122</v>
      </c>
      <c r="D47" s="91">
        <f>ROUND((D40*D45),0)</f>
        <v>1312500</v>
      </c>
      <c r="I47" s="42" t="s">
        <v>122</v>
      </c>
      <c r="J47" s="91">
        <f>ROUND((J40*J45),0)</f>
        <v>7087500</v>
      </c>
      <c r="L47" s="42" t="s">
        <v>122</v>
      </c>
      <c r="M47" s="91">
        <f>ROUND((M40*M45),0)</f>
        <v>1895460</v>
      </c>
    </row>
    <row r="48" spans="1:13" x14ac:dyDescent="0.25">
      <c r="C48" s="42" t="s">
        <v>123</v>
      </c>
      <c r="D48" s="91">
        <v>3125</v>
      </c>
      <c r="I48" s="42" t="s">
        <v>123</v>
      </c>
      <c r="J48" s="91">
        <v>16875</v>
      </c>
      <c r="L48" s="42" t="s">
        <v>123</v>
      </c>
      <c r="M48" s="91">
        <v>4513</v>
      </c>
    </row>
    <row r="49" spans="1:13" x14ac:dyDescent="0.25">
      <c r="C49" s="42" t="s">
        <v>73</v>
      </c>
      <c r="D49" s="53">
        <v>2150</v>
      </c>
      <c r="I49" s="42" t="s">
        <v>73</v>
      </c>
      <c r="J49" s="53">
        <v>3150</v>
      </c>
      <c r="L49" s="42" t="s">
        <v>73</v>
      </c>
      <c r="M49" s="53">
        <v>3150</v>
      </c>
    </row>
    <row r="50" spans="1:13" x14ac:dyDescent="0.25">
      <c r="C50" s="42" t="s">
        <v>124</v>
      </c>
      <c r="D50" s="91">
        <f>D49*D48</f>
        <v>6718750</v>
      </c>
      <c r="I50" s="42" t="s">
        <v>124</v>
      </c>
      <c r="J50" s="91">
        <f>J49*J48</f>
        <v>53156250</v>
      </c>
      <c r="L50" s="42" t="s">
        <v>124</v>
      </c>
      <c r="M50" s="91">
        <f>M49*M48</f>
        <v>14215950</v>
      </c>
    </row>
    <row r="51" spans="1:13" x14ac:dyDescent="0.25">
      <c r="C51" s="42" t="s">
        <v>125</v>
      </c>
      <c r="D51" s="42"/>
      <c r="I51" s="42" t="s">
        <v>125</v>
      </c>
      <c r="J51" s="42"/>
      <c r="L51" s="42" t="s">
        <v>125</v>
      </c>
      <c r="M51" s="42"/>
    </row>
    <row r="52" spans="1:13" x14ac:dyDescent="0.25">
      <c r="C52" s="93" t="s">
        <v>126</v>
      </c>
      <c r="D52" s="94">
        <f>D50-D47</f>
        <v>5406250</v>
      </c>
      <c r="E52">
        <f>D52/D48</f>
        <v>1730</v>
      </c>
      <c r="I52" s="93" t="s">
        <v>126</v>
      </c>
      <c r="J52" s="94">
        <f>J50-J47</f>
        <v>46068750</v>
      </c>
      <c r="K52">
        <f>J52/J48</f>
        <v>2730</v>
      </c>
      <c r="L52" s="93" t="s">
        <v>126</v>
      </c>
      <c r="M52" s="94">
        <f>M50-M47</f>
        <v>12320490</v>
      </c>
    </row>
    <row r="53" spans="1:13" x14ac:dyDescent="0.25">
      <c r="C53" s="93" t="s">
        <v>127</v>
      </c>
      <c r="D53" s="94">
        <f>ROUND((D52*90%),0)</f>
        <v>4865625</v>
      </c>
      <c r="I53" s="93" t="s">
        <v>127</v>
      </c>
      <c r="J53" s="94">
        <f>ROUND((J52*90%),0)</f>
        <v>41461875</v>
      </c>
      <c r="L53" s="93" t="s">
        <v>127</v>
      </c>
      <c r="M53" s="94">
        <f>ROUND((M52*90%),0)</f>
        <v>11088441</v>
      </c>
    </row>
    <row r="54" spans="1:13" x14ac:dyDescent="0.25">
      <c r="C54" s="93" t="s">
        <v>128</v>
      </c>
      <c r="D54" s="94">
        <f>ROUND((D52*80%),0)</f>
        <v>4325000</v>
      </c>
      <c r="I54" s="93" t="s">
        <v>128</v>
      </c>
      <c r="J54" s="94">
        <f>ROUND((J52*80%),0)</f>
        <v>36855000</v>
      </c>
      <c r="L54" s="93" t="s">
        <v>128</v>
      </c>
      <c r="M54" s="94">
        <f>ROUND((M52*80%),0)</f>
        <v>9856392</v>
      </c>
    </row>
    <row r="55" spans="1:13" x14ac:dyDescent="0.25">
      <c r="C55" s="93" t="s">
        <v>129</v>
      </c>
      <c r="D55" s="94">
        <f>MROUND((D52*0.03/12),500)</f>
        <v>13500</v>
      </c>
      <c r="I55" s="93" t="s">
        <v>129</v>
      </c>
      <c r="J55" s="94">
        <f>MROUND((J52*0.03/12),500)</f>
        <v>115000</v>
      </c>
      <c r="L55" s="93" t="s">
        <v>129</v>
      </c>
      <c r="M55" s="94">
        <f>MROUND((M52*0.03/12),500)</f>
        <v>31000</v>
      </c>
    </row>
    <row r="59" spans="1:13" ht="15.75" x14ac:dyDescent="0.25">
      <c r="A59" s="38"/>
    </row>
    <row r="60" spans="1:13" ht="15.75" x14ac:dyDescent="0.25">
      <c r="A60" s="38"/>
    </row>
    <row r="61" spans="1:13" ht="15.75" x14ac:dyDescent="0.25">
      <c r="A61" s="38"/>
    </row>
    <row r="62" spans="1:13" ht="15.75" x14ac:dyDescent="0.25">
      <c r="A62" s="38"/>
    </row>
    <row r="63" spans="1:13" ht="15.75" x14ac:dyDescent="0.25">
      <c r="A63" s="38"/>
    </row>
    <row r="64" spans="1:13" ht="15.75" x14ac:dyDescent="0.25">
      <c r="A64" s="38"/>
    </row>
    <row r="65" spans="1:10" ht="15.75" x14ac:dyDescent="0.25">
      <c r="A65" s="38"/>
    </row>
    <row r="66" spans="1:10" x14ac:dyDescent="0.25">
      <c r="I66" s="10">
        <v>30300</v>
      </c>
      <c r="J66" s="96">
        <f>I66/10.764</f>
        <v>2814.9386845039021</v>
      </c>
    </row>
    <row r="67" spans="1:10" x14ac:dyDescent="0.25">
      <c r="I67" s="10">
        <v>2300</v>
      </c>
      <c r="J67" s="96"/>
    </row>
    <row r="68" spans="1:10" x14ac:dyDescent="0.25">
      <c r="I68" s="10"/>
      <c r="J68" s="96"/>
    </row>
    <row r="69" spans="1:10" x14ac:dyDescent="0.25">
      <c r="I69" s="10">
        <f>I66-I67</f>
        <v>28000</v>
      </c>
      <c r="J69" s="96"/>
    </row>
    <row r="70" spans="1:10" x14ac:dyDescent="0.25">
      <c r="I70" s="10">
        <f>I69*86%</f>
        <v>24080</v>
      </c>
      <c r="J70" s="96"/>
    </row>
    <row r="71" spans="1:10" x14ac:dyDescent="0.25">
      <c r="I71" s="10"/>
      <c r="J71" s="96"/>
    </row>
    <row r="72" spans="1:10" x14ac:dyDescent="0.25">
      <c r="I72" s="95">
        <f>I70+I67</f>
        <v>26380</v>
      </c>
      <c r="J72" s="96">
        <f>I72/10.764</f>
        <v>2450.7617985878856</v>
      </c>
    </row>
    <row r="84" spans="3:12" x14ac:dyDescent="0.25">
      <c r="C84" s="16">
        <f>C83*C82</f>
        <v>0</v>
      </c>
      <c r="F84" s="16">
        <f>F83*F82</f>
        <v>0</v>
      </c>
      <c r="I84" s="16">
        <f>I83*I82</f>
        <v>0</v>
      </c>
      <c r="L84" s="16">
        <f>L83*L82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0"/>
  <sheetViews>
    <sheetView workbookViewId="0">
      <selection activeCell="H22" sqref="H2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  <col min="22" max="22" width="51.14062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2" x14ac:dyDescent="0.25">
      <c r="A2" s="4">
        <v>1</v>
      </c>
      <c r="B2" s="4">
        <f t="shared" ref="B2:B16" si="0">Q2</f>
        <v>21413.333333333336</v>
      </c>
      <c r="C2" s="4">
        <f t="shared" ref="C2:C16" si="1">B2*1.2</f>
        <v>25696.000000000004</v>
      </c>
      <c r="D2" s="4">
        <f t="shared" ref="D2:D16" si="2">C2*1.2</f>
        <v>30835.200000000004</v>
      </c>
      <c r="E2" s="5">
        <f t="shared" ref="E2:E16" si="3">R2</f>
        <v>41500000</v>
      </c>
      <c r="F2" s="4">
        <f t="shared" ref="F2:F15" si="4">ROUND((E2/B2),0)</f>
        <v>1938</v>
      </c>
      <c r="G2" s="86">
        <f t="shared" ref="G2:G15" si="5">ROUND((E2/C2),0)</f>
        <v>1615</v>
      </c>
      <c r="H2" s="86">
        <f t="shared" ref="H2:H15" si="6">ROUND((E2/D2),0)</f>
        <v>1346</v>
      </c>
      <c r="I2" s="86">
        <f t="shared" ref="I2:I15" si="7">T2</f>
        <v>1776.5000000000002</v>
      </c>
      <c r="J2" s="86">
        <f t="shared" ref="J2:J15" si="8">U2</f>
        <v>0</v>
      </c>
      <c r="K2" s="7"/>
      <c r="L2" s="7"/>
      <c r="M2" s="7"/>
      <c r="N2" s="7"/>
      <c r="O2" s="7">
        <v>0</v>
      </c>
      <c r="P2" s="7">
        <v>25696</v>
      </c>
      <c r="Q2" s="7">
        <f t="shared" ref="Q2:Q10" si="9">P2/1.2</f>
        <v>21413.333333333336</v>
      </c>
      <c r="R2" s="87">
        <v>41500000</v>
      </c>
      <c r="S2" s="87" t="s">
        <v>85</v>
      </c>
      <c r="T2">
        <f>G2*1.1</f>
        <v>1776.5000000000002</v>
      </c>
      <c r="V2">
        <f>G2*1.2</f>
        <v>1938</v>
      </c>
    </row>
    <row r="3" spans="1:22" x14ac:dyDescent="0.25">
      <c r="A3" s="4">
        <v>2</v>
      </c>
      <c r="B3" s="4">
        <f t="shared" si="0"/>
        <v>675</v>
      </c>
      <c r="C3" s="4">
        <f t="shared" si="1"/>
        <v>810</v>
      </c>
      <c r="D3" s="4">
        <f t="shared" si="2"/>
        <v>972</v>
      </c>
      <c r="E3" s="5">
        <f t="shared" si="3"/>
        <v>3200000</v>
      </c>
      <c r="F3" s="4">
        <f t="shared" si="4"/>
        <v>4741</v>
      </c>
      <c r="G3" s="88">
        <f t="shared" si="5"/>
        <v>3951</v>
      </c>
      <c r="H3" s="88">
        <f t="shared" si="6"/>
        <v>3292</v>
      </c>
      <c r="I3" s="88">
        <f t="shared" si="7"/>
        <v>0</v>
      </c>
      <c r="J3" s="88">
        <f t="shared" si="8"/>
        <v>0</v>
      </c>
      <c r="K3" s="89"/>
      <c r="L3" s="89"/>
      <c r="M3" s="89"/>
      <c r="N3" s="89"/>
      <c r="O3" s="89">
        <v>0</v>
      </c>
      <c r="P3" s="89">
        <v>810</v>
      </c>
      <c r="Q3" s="89">
        <f t="shared" si="9"/>
        <v>675</v>
      </c>
      <c r="R3" s="90">
        <v>3200000</v>
      </c>
      <c r="S3" s="2"/>
    </row>
    <row r="4" spans="1:22" x14ac:dyDescent="0.25">
      <c r="A4" s="4">
        <v>3</v>
      </c>
      <c r="B4" s="4">
        <f t="shared" si="0"/>
        <v>2250</v>
      </c>
      <c r="C4" s="4">
        <f t="shared" si="1"/>
        <v>2700</v>
      </c>
      <c r="D4" s="4">
        <f t="shared" si="2"/>
        <v>3240</v>
      </c>
      <c r="E4" s="5">
        <f t="shared" si="3"/>
        <v>11000000</v>
      </c>
      <c r="F4" s="4">
        <f t="shared" si="4"/>
        <v>4889</v>
      </c>
      <c r="G4" s="86">
        <f>ROUND((E4/C4),0)</f>
        <v>4074</v>
      </c>
      <c r="H4" s="86">
        <f t="shared" si="6"/>
        <v>3395</v>
      </c>
      <c r="I4" s="86">
        <f t="shared" si="7"/>
        <v>0</v>
      </c>
      <c r="J4" s="86">
        <f t="shared" si="8"/>
        <v>0</v>
      </c>
      <c r="K4" s="7"/>
      <c r="L4" s="7"/>
      <c r="M4" s="7"/>
      <c r="N4" s="7"/>
      <c r="O4" s="7">
        <v>0</v>
      </c>
      <c r="P4" s="7">
        <v>2700</v>
      </c>
      <c r="Q4" s="7">
        <f t="shared" si="9"/>
        <v>2250</v>
      </c>
      <c r="R4" s="87">
        <v>11000000</v>
      </c>
      <c r="S4" s="2"/>
    </row>
    <row r="5" spans="1:22" x14ac:dyDescent="0.25">
      <c r="A5" s="4">
        <v>4</v>
      </c>
      <c r="B5" s="4">
        <f t="shared" si="0"/>
        <v>5210.2245000000003</v>
      </c>
      <c r="C5" s="4">
        <f t="shared" si="1"/>
        <v>6252.2694000000001</v>
      </c>
      <c r="D5" s="4">
        <f t="shared" si="2"/>
        <v>7502.7232800000002</v>
      </c>
      <c r="E5" s="5">
        <f t="shared" si="3"/>
        <v>14157487</v>
      </c>
      <c r="F5" s="4">
        <f t="shared" si="4"/>
        <v>2717</v>
      </c>
      <c r="G5" s="4">
        <f t="shared" si="5"/>
        <v>2264</v>
      </c>
      <c r="H5" s="4">
        <f t="shared" si="6"/>
        <v>1887</v>
      </c>
      <c r="I5" s="4">
        <f t="shared" si="7"/>
        <v>0</v>
      </c>
      <c r="J5" s="4">
        <f t="shared" si="8"/>
        <v>0</v>
      </c>
      <c r="O5">
        <v>0</v>
      </c>
      <c r="P5">
        <f>580.85*10.764</f>
        <v>6252.2694000000001</v>
      </c>
      <c r="Q5">
        <f t="shared" si="9"/>
        <v>5210.2245000000003</v>
      </c>
      <c r="R5" s="2">
        <v>14157487</v>
      </c>
      <c r="S5" s="2" t="s">
        <v>100</v>
      </c>
      <c r="V5" t="s">
        <v>102</v>
      </c>
    </row>
    <row r="6" spans="1:22" x14ac:dyDescent="0.25">
      <c r="A6" s="4">
        <v>5</v>
      </c>
      <c r="B6" s="4">
        <f t="shared" si="0"/>
        <v>33383.333333333336</v>
      </c>
      <c r="C6" s="4">
        <f t="shared" si="1"/>
        <v>40060</v>
      </c>
      <c r="D6" s="4">
        <f t="shared" si="2"/>
        <v>48072</v>
      </c>
      <c r="E6" s="5">
        <f t="shared" si="3"/>
        <v>70000000</v>
      </c>
      <c r="F6" s="4">
        <f t="shared" si="4"/>
        <v>2097</v>
      </c>
      <c r="G6" s="88">
        <f t="shared" si="5"/>
        <v>1747</v>
      </c>
      <c r="H6" s="88">
        <f t="shared" si="6"/>
        <v>1456</v>
      </c>
      <c r="I6" s="88">
        <f t="shared" si="7"/>
        <v>0</v>
      </c>
      <c r="J6" s="88">
        <f t="shared" si="8"/>
        <v>0</v>
      </c>
      <c r="K6" s="89"/>
      <c r="L6" s="89"/>
      <c r="M6" s="89"/>
      <c r="N6" s="89"/>
      <c r="O6" s="89">
        <v>0</v>
      </c>
      <c r="P6" s="89">
        <v>40060</v>
      </c>
      <c r="Q6" s="89">
        <f t="shared" si="9"/>
        <v>33383.333333333336</v>
      </c>
      <c r="R6" s="90">
        <v>70000000</v>
      </c>
      <c r="S6" s="90" t="s">
        <v>101</v>
      </c>
      <c r="V6" t="s">
        <v>103</v>
      </c>
    </row>
    <row r="7" spans="1:22" x14ac:dyDescent="0.25">
      <c r="A7" s="4">
        <v>6</v>
      </c>
      <c r="B7" s="4">
        <f t="shared" si="0"/>
        <v>10706.666666666668</v>
      </c>
      <c r="C7" s="4">
        <f t="shared" si="1"/>
        <v>12848.000000000002</v>
      </c>
      <c r="D7" s="4">
        <f t="shared" si="2"/>
        <v>15417.600000000002</v>
      </c>
      <c r="E7" s="5">
        <f t="shared" si="3"/>
        <v>288052</v>
      </c>
      <c r="F7" s="4">
        <f t="shared" si="4"/>
        <v>27</v>
      </c>
      <c r="G7" s="4">
        <f t="shared" si="5"/>
        <v>22</v>
      </c>
      <c r="H7" s="4">
        <f t="shared" si="6"/>
        <v>19</v>
      </c>
      <c r="I7" s="4">
        <f t="shared" si="7"/>
        <v>0</v>
      </c>
      <c r="J7" s="4">
        <f t="shared" si="8"/>
        <v>0</v>
      </c>
      <c r="O7">
        <v>0</v>
      </c>
      <c r="P7">
        <v>12848</v>
      </c>
      <c r="Q7">
        <f t="shared" si="9"/>
        <v>10706.666666666668</v>
      </c>
      <c r="R7" s="2">
        <v>288052</v>
      </c>
      <c r="S7" s="2" t="s">
        <v>104</v>
      </c>
      <c r="V7" t="s">
        <v>105</v>
      </c>
    </row>
    <row r="8" spans="1:22" x14ac:dyDescent="0.25">
      <c r="A8" s="4">
        <v>7</v>
      </c>
      <c r="B8" s="4">
        <f t="shared" si="0"/>
        <v>5000</v>
      </c>
      <c r="C8" s="4">
        <f t="shared" si="1"/>
        <v>6000</v>
      </c>
      <c r="D8" s="4">
        <f t="shared" si="2"/>
        <v>7200</v>
      </c>
      <c r="E8" s="5">
        <f t="shared" si="3"/>
        <v>90294</v>
      </c>
      <c r="F8" s="4">
        <f t="shared" si="4"/>
        <v>18</v>
      </c>
      <c r="G8" s="4">
        <f t="shared" si="5"/>
        <v>15</v>
      </c>
      <c r="H8" s="4">
        <f t="shared" si="6"/>
        <v>13</v>
      </c>
      <c r="I8" s="4">
        <f t="shared" si="7"/>
        <v>0</v>
      </c>
      <c r="J8" s="4">
        <f t="shared" si="8"/>
        <v>0</v>
      </c>
      <c r="O8">
        <v>0</v>
      </c>
      <c r="P8">
        <v>6000</v>
      </c>
      <c r="Q8">
        <f t="shared" si="9"/>
        <v>5000</v>
      </c>
      <c r="R8" s="2">
        <v>90294</v>
      </c>
      <c r="S8" s="2" t="s">
        <v>106</v>
      </c>
      <c r="V8" t="s">
        <v>105</v>
      </c>
    </row>
    <row r="9" spans="1:22" x14ac:dyDescent="0.25">
      <c r="A9" s="4">
        <v>8</v>
      </c>
      <c r="B9" s="4">
        <f t="shared" si="0"/>
        <v>3000</v>
      </c>
      <c r="C9" s="4">
        <f t="shared" si="1"/>
        <v>3600</v>
      </c>
      <c r="D9" s="4">
        <f t="shared" si="2"/>
        <v>4320</v>
      </c>
      <c r="E9" s="5">
        <f t="shared" si="3"/>
        <v>12500000</v>
      </c>
      <c r="F9" s="4">
        <f t="shared" si="4"/>
        <v>4167</v>
      </c>
      <c r="G9" s="86">
        <f t="shared" si="5"/>
        <v>3472</v>
      </c>
      <c r="H9" s="86">
        <f t="shared" si="6"/>
        <v>2894</v>
      </c>
      <c r="I9" s="86">
        <f t="shared" si="7"/>
        <v>0</v>
      </c>
      <c r="J9" s="86">
        <f t="shared" si="8"/>
        <v>0</v>
      </c>
      <c r="K9" s="7"/>
      <c r="L9" s="7"/>
      <c r="M9" s="7"/>
      <c r="N9" s="7"/>
      <c r="O9" s="7">
        <v>0</v>
      </c>
      <c r="P9" s="7">
        <f t="shared" ref="P9" si="10">O9/1.2</f>
        <v>0</v>
      </c>
      <c r="Q9" s="7">
        <v>3000</v>
      </c>
      <c r="R9" s="87">
        <v>12500000</v>
      </c>
      <c r="S9" s="2"/>
    </row>
    <row r="10" spans="1:22" x14ac:dyDescent="0.25">
      <c r="A10" s="4">
        <v>9</v>
      </c>
      <c r="B10" s="4">
        <f t="shared" si="0"/>
        <v>666.66666666666674</v>
      </c>
      <c r="C10" s="4">
        <f t="shared" si="1"/>
        <v>800.00000000000011</v>
      </c>
      <c r="D10" s="4">
        <f t="shared" si="2"/>
        <v>960.00000000000011</v>
      </c>
      <c r="E10" s="5">
        <f t="shared" si="3"/>
        <v>2500000</v>
      </c>
      <c r="F10" s="4">
        <f t="shared" si="4"/>
        <v>3750</v>
      </c>
      <c r="G10" s="86">
        <f t="shared" si="5"/>
        <v>3125</v>
      </c>
      <c r="H10" s="86">
        <f t="shared" si="6"/>
        <v>2604</v>
      </c>
      <c r="I10" s="86">
        <f t="shared" si="7"/>
        <v>0</v>
      </c>
      <c r="J10" s="86">
        <f t="shared" si="8"/>
        <v>0</v>
      </c>
      <c r="K10" s="7"/>
      <c r="L10" s="7"/>
      <c r="M10" s="7"/>
      <c r="N10" s="7"/>
      <c r="O10" s="7">
        <v>0</v>
      </c>
      <c r="P10" s="7">
        <v>800</v>
      </c>
      <c r="Q10" s="7">
        <f t="shared" si="9"/>
        <v>666.66666666666674</v>
      </c>
      <c r="R10" s="87">
        <v>2500000</v>
      </c>
      <c r="S10" s="2"/>
    </row>
    <row r="11" spans="1:22" x14ac:dyDescent="0.25">
      <c r="A11" s="4">
        <v>10</v>
      </c>
      <c r="B11" s="4">
        <f t="shared" si="0"/>
        <v>1875.6944444444446</v>
      </c>
      <c r="C11" s="4">
        <f t="shared" si="1"/>
        <v>2250.8333333333335</v>
      </c>
      <c r="D11" s="4">
        <f t="shared" si="2"/>
        <v>2701</v>
      </c>
      <c r="E11" s="5">
        <f t="shared" si="3"/>
        <v>6500000</v>
      </c>
      <c r="F11" s="4">
        <f t="shared" si="4"/>
        <v>3465</v>
      </c>
      <c r="G11" s="86">
        <f t="shared" si="5"/>
        <v>2888</v>
      </c>
      <c r="H11" s="86">
        <f t="shared" si="6"/>
        <v>2407</v>
      </c>
      <c r="I11" s="86">
        <f t="shared" si="7"/>
        <v>0</v>
      </c>
      <c r="J11" s="86">
        <f t="shared" si="8"/>
        <v>0</v>
      </c>
      <c r="K11" s="7"/>
      <c r="L11" s="7"/>
      <c r="M11" s="7"/>
      <c r="N11" s="7"/>
      <c r="O11" s="7">
        <v>2701</v>
      </c>
      <c r="P11" s="7">
        <f t="shared" ref="P11:P15" si="11">O11/1.2</f>
        <v>2250.8333333333335</v>
      </c>
      <c r="Q11" s="7">
        <f t="shared" ref="Q11:Q15" si="12">P11/1.2</f>
        <v>1875.6944444444446</v>
      </c>
      <c r="R11" s="87">
        <v>6500000</v>
      </c>
      <c r="S11" s="2"/>
    </row>
    <row r="12" spans="1:22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22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22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22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22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70" t="s">
        <v>99</v>
      </c>
    </row>
    <row r="24" spans="1:19" s="10" customFormat="1" x14ac:dyDescent="0.25">
      <c r="F24" s="69"/>
    </row>
    <row r="25" spans="1:19" s="10" customFormat="1" x14ac:dyDescent="0.25">
      <c r="F25" s="70" t="s">
        <v>112</v>
      </c>
    </row>
    <row r="26" spans="1:19" s="10" customFormat="1" x14ac:dyDescent="0.25">
      <c r="F26" s="70"/>
    </row>
    <row r="27" spans="1:19" s="10" customFormat="1" x14ac:dyDescent="0.25">
      <c r="F27" s="70"/>
    </row>
    <row r="28" spans="1:19" s="10" customFormat="1" x14ac:dyDescent="0.25">
      <c r="C28" s="68" t="s">
        <v>75</v>
      </c>
      <c r="D28" s="68"/>
      <c r="F28" s="53" t="s">
        <v>71</v>
      </c>
      <c r="G28" s="53">
        <v>0</v>
      </c>
    </row>
    <row r="29" spans="1:19" s="10" customFormat="1" x14ac:dyDescent="0.25">
      <c r="C29" s="68" t="s">
        <v>1</v>
      </c>
      <c r="D29" s="68"/>
      <c r="F29" s="53" t="s">
        <v>72</v>
      </c>
      <c r="G29" s="53"/>
      <c r="H29" s="10" t="e">
        <f>G29/G28</f>
        <v>#DIV/0!</v>
      </c>
    </row>
    <row r="30" spans="1:19" s="10" customFormat="1" x14ac:dyDescent="0.25">
      <c r="F30" s="53" t="s">
        <v>73</v>
      </c>
      <c r="G30" s="53"/>
    </row>
    <row r="31" spans="1:19" s="10" customFormat="1" x14ac:dyDescent="0.25">
      <c r="C31" s="71"/>
      <c r="D31" s="71"/>
      <c r="F31" s="71" t="s">
        <v>74</v>
      </c>
      <c r="G31" s="71">
        <f>G29*G30</f>
        <v>0</v>
      </c>
      <c r="H31" s="10" t="e">
        <f>G31/D29</f>
        <v>#DIV/0!</v>
      </c>
    </row>
    <row r="32" spans="1:19" s="10" customFormat="1" x14ac:dyDescent="0.25">
      <c r="C32" s="71"/>
      <c r="D32" s="71"/>
      <c r="F32" s="71" t="s">
        <v>24</v>
      </c>
      <c r="G32" s="71">
        <f>G31*90%</f>
        <v>0</v>
      </c>
    </row>
    <row r="33" spans="3:7" s="10" customFormat="1" x14ac:dyDescent="0.25">
      <c r="C33" s="71"/>
      <c r="D33" s="71"/>
      <c r="F33" s="71" t="s">
        <v>25</v>
      </c>
      <c r="G33" s="71">
        <f>G31*80%</f>
        <v>0</v>
      </c>
    </row>
    <row r="34" spans="3:7" s="10" customFormat="1" x14ac:dyDescent="0.25">
      <c r="C34" s="71"/>
      <c r="D34" s="71"/>
    </row>
    <row r="35" spans="3:7" s="10" customFormat="1" x14ac:dyDescent="0.25">
      <c r="C35" s="71"/>
      <c r="D35" s="71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U10"/>
  <sheetViews>
    <sheetView workbookViewId="0">
      <selection activeCell="G7" sqref="G7"/>
    </sheetView>
  </sheetViews>
  <sheetFormatPr defaultRowHeight="15" x14ac:dyDescent="0.25"/>
  <cols>
    <col min="1" max="1" width="6.85546875" style="82" bestFit="1" customWidth="1"/>
    <col min="2" max="2" width="19" style="73" bestFit="1" customWidth="1"/>
    <col min="3" max="3" width="31.7109375" style="73" bestFit="1" customWidth="1"/>
    <col min="4" max="4" width="12.7109375" style="73" bestFit="1" customWidth="1"/>
    <col min="5" max="5" width="15.7109375" style="73" customWidth="1"/>
    <col min="6" max="6" width="14.28515625" style="73" customWidth="1"/>
    <col min="7" max="8" width="14.7109375" style="73" customWidth="1"/>
    <col min="9" max="9" width="10" style="73" customWidth="1"/>
    <col min="10" max="10" width="10" style="73" bestFit="1" customWidth="1"/>
    <col min="11" max="11" width="10" style="73" customWidth="1"/>
    <col min="12" max="12" width="9" style="73" bestFit="1" customWidth="1"/>
    <col min="13" max="15" width="14.28515625" style="73" bestFit="1" customWidth="1"/>
    <col min="16" max="16" width="5.42578125" style="83" bestFit="1" customWidth="1"/>
    <col min="17" max="19" width="9.140625" style="73"/>
    <col min="20" max="21" width="11.5703125" style="73" bestFit="1" customWidth="1"/>
    <col min="22" max="16384" width="9.140625" style="73"/>
  </cols>
  <sheetData>
    <row r="4" spans="1:21" s="77" customFormat="1" ht="30" x14ac:dyDescent="0.25">
      <c r="A4" s="75" t="s">
        <v>0</v>
      </c>
      <c r="B4" s="75" t="s">
        <v>86</v>
      </c>
      <c r="C4" s="75" t="s">
        <v>87</v>
      </c>
      <c r="D4" s="75" t="s">
        <v>113</v>
      </c>
      <c r="E4" s="75" t="s">
        <v>89</v>
      </c>
      <c r="F4" s="75" t="s">
        <v>88</v>
      </c>
      <c r="G4" s="75" t="s">
        <v>93</v>
      </c>
      <c r="H4" s="75" t="s">
        <v>68</v>
      </c>
      <c r="I4" s="75" t="s">
        <v>71</v>
      </c>
      <c r="J4" s="75" t="s">
        <v>77</v>
      </c>
      <c r="K4" s="75" t="s">
        <v>108</v>
      </c>
      <c r="L4" s="75" t="s">
        <v>73</v>
      </c>
      <c r="M4" s="75" t="s">
        <v>74</v>
      </c>
      <c r="N4" s="75" t="s">
        <v>24</v>
      </c>
      <c r="O4" s="75" t="s">
        <v>25</v>
      </c>
      <c r="P4" s="76"/>
      <c r="S4" s="77" t="s">
        <v>107</v>
      </c>
    </row>
    <row r="5" spans="1:21" ht="45" x14ac:dyDescent="0.25">
      <c r="A5" s="78">
        <v>1</v>
      </c>
      <c r="B5" s="74" t="s">
        <v>91</v>
      </c>
      <c r="C5" s="74" t="s">
        <v>92</v>
      </c>
      <c r="D5" s="74" t="s">
        <v>114</v>
      </c>
      <c r="E5" s="74" t="s">
        <v>90</v>
      </c>
      <c r="F5" s="79">
        <v>3500000</v>
      </c>
      <c r="G5" s="79">
        <v>5347000</v>
      </c>
      <c r="H5" s="85">
        <v>2008</v>
      </c>
      <c r="I5" s="79">
        <v>2370</v>
      </c>
      <c r="J5" s="79">
        <v>3125</v>
      </c>
      <c r="K5" s="79">
        <f>J5/I5</f>
        <v>1.3185654008438819</v>
      </c>
      <c r="L5" s="79">
        <v>1800</v>
      </c>
      <c r="M5" s="79">
        <f>L5*J5</f>
        <v>5625000</v>
      </c>
      <c r="N5" s="79">
        <f>M5*0.9</f>
        <v>5062500</v>
      </c>
      <c r="O5" s="79">
        <f>M5*0.8</f>
        <v>4500000</v>
      </c>
      <c r="P5" s="79">
        <f>M5/F5</f>
        <v>1.6071428571428572</v>
      </c>
      <c r="R5" s="73">
        <f>F5/J5</f>
        <v>1120</v>
      </c>
      <c r="S5" s="73">
        <v>18</v>
      </c>
      <c r="T5" s="84">
        <f>S5*J5</f>
        <v>56250</v>
      </c>
      <c r="U5" s="84">
        <f>M5*0.04/12</f>
        <v>18750</v>
      </c>
    </row>
    <row r="6" spans="1:21" ht="45" x14ac:dyDescent="0.25">
      <c r="A6" s="78">
        <v>2</v>
      </c>
      <c r="B6" s="74" t="s">
        <v>91</v>
      </c>
      <c r="C6" s="74" t="s">
        <v>96</v>
      </c>
      <c r="D6" s="74" t="s">
        <v>114</v>
      </c>
      <c r="E6" s="74" t="s">
        <v>90</v>
      </c>
      <c r="F6" s="79">
        <v>3500000</v>
      </c>
      <c r="G6" s="79">
        <v>5347000</v>
      </c>
      <c r="H6" s="85">
        <v>2008</v>
      </c>
      <c r="I6" s="79">
        <v>2357</v>
      </c>
      <c r="J6" s="79">
        <v>3125</v>
      </c>
      <c r="K6" s="79">
        <f>J6/I6</f>
        <v>1.3258379295714893</v>
      </c>
      <c r="L6" s="79">
        <v>1800</v>
      </c>
      <c r="M6" s="79">
        <f>L6*J6</f>
        <v>5625000</v>
      </c>
      <c r="N6" s="79">
        <f>M6*0.9</f>
        <v>5062500</v>
      </c>
      <c r="O6" s="79">
        <f>M6*0.8</f>
        <v>4500000</v>
      </c>
      <c r="P6" s="79">
        <f>M6/F6</f>
        <v>1.6071428571428572</v>
      </c>
      <c r="R6" s="73">
        <f>F6/J6</f>
        <v>1120</v>
      </c>
      <c r="S6" s="73">
        <v>18</v>
      </c>
      <c r="T6" s="84">
        <f>S6*J6</f>
        <v>56250</v>
      </c>
      <c r="U6" s="84">
        <f>M6*0.025/12</f>
        <v>11718.75</v>
      </c>
    </row>
    <row r="7" spans="1:21" ht="60" x14ac:dyDescent="0.25">
      <c r="A7" s="78">
        <v>3</v>
      </c>
      <c r="B7" s="74" t="s">
        <v>94</v>
      </c>
      <c r="C7" s="74" t="s">
        <v>95</v>
      </c>
      <c r="D7" s="74" t="s">
        <v>115</v>
      </c>
      <c r="E7" s="74" t="s">
        <v>90</v>
      </c>
      <c r="F7" s="79">
        <v>16031250</v>
      </c>
      <c r="G7" s="79">
        <v>31589000</v>
      </c>
      <c r="H7" s="85"/>
      <c r="I7" s="79">
        <v>10686</v>
      </c>
      <c r="J7" s="79">
        <v>16875</v>
      </c>
      <c r="K7" s="79">
        <f>J7/I7</f>
        <v>1.5791690061763055</v>
      </c>
      <c r="L7" s="79">
        <v>2700</v>
      </c>
      <c r="M7" s="79">
        <f>L7*J7</f>
        <v>45562500</v>
      </c>
      <c r="N7" s="79">
        <f>M7*0.9</f>
        <v>41006250</v>
      </c>
      <c r="O7" s="79">
        <f>M7*0.8</f>
        <v>36450000</v>
      </c>
      <c r="P7" s="79">
        <f>M7/F7</f>
        <v>2.8421052631578947</v>
      </c>
      <c r="R7" s="73">
        <f>F7/J7</f>
        <v>950</v>
      </c>
      <c r="S7" s="73">
        <v>18</v>
      </c>
      <c r="T7" s="84">
        <f>S7*J7</f>
        <v>303750</v>
      </c>
      <c r="U7" s="84">
        <f t="shared" ref="U7:U8" si="0">M7*0.025/12</f>
        <v>94921.875</v>
      </c>
    </row>
    <row r="8" spans="1:21" ht="60" x14ac:dyDescent="0.25">
      <c r="A8" s="78">
        <v>4</v>
      </c>
      <c r="B8" s="74" t="s">
        <v>91</v>
      </c>
      <c r="C8" s="74" t="s">
        <v>98</v>
      </c>
      <c r="D8" s="74" t="s">
        <v>115</v>
      </c>
      <c r="E8" s="74" t="s">
        <v>90</v>
      </c>
      <c r="F8" s="79">
        <v>4287350</v>
      </c>
      <c r="G8" s="79">
        <v>10156000</v>
      </c>
      <c r="H8" s="85"/>
      <c r="I8" s="79">
        <v>3686</v>
      </c>
      <c r="J8" s="79">
        <v>4513</v>
      </c>
      <c r="K8" s="79">
        <f>J8/I8</f>
        <v>1.2243624525230603</v>
      </c>
      <c r="L8" s="79">
        <v>2700</v>
      </c>
      <c r="M8" s="79">
        <f>L8*J8</f>
        <v>12185100</v>
      </c>
      <c r="N8" s="79">
        <f>M8*0.9</f>
        <v>10966590</v>
      </c>
      <c r="O8" s="79">
        <f>M8*0.8</f>
        <v>9748080</v>
      </c>
      <c r="P8" s="79">
        <f>M8/F8</f>
        <v>2.8421052631578947</v>
      </c>
      <c r="R8" s="73">
        <f>F8/J8</f>
        <v>950</v>
      </c>
      <c r="S8" s="73">
        <v>18</v>
      </c>
      <c r="T8" s="84">
        <f>S8*J8</f>
        <v>81234</v>
      </c>
      <c r="U8" s="84">
        <f t="shared" si="0"/>
        <v>25385.625</v>
      </c>
    </row>
    <row r="9" spans="1:21" s="81" customFormat="1" ht="30" customHeight="1" x14ac:dyDescent="0.25">
      <c r="A9" s="98" t="s">
        <v>97</v>
      </c>
      <c r="B9" s="99"/>
      <c r="C9" s="99"/>
      <c r="D9" s="99"/>
      <c r="E9" s="100"/>
      <c r="F9" s="80">
        <f>SUM(F5:F8)</f>
        <v>27318600</v>
      </c>
      <c r="G9" s="80">
        <f>SUM(G5:G8)</f>
        <v>52439000</v>
      </c>
      <c r="H9" s="80"/>
      <c r="I9" s="80"/>
      <c r="J9" s="80"/>
      <c r="K9" s="80"/>
      <c r="L9" s="80"/>
      <c r="M9" s="80">
        <f>SUM(M5:M8)</f>
        <v>68997600</v>
      </c>
      <c r="N9" s="80">
        <f>SUM(N5:N8)</f>
        <v>62097840</v>
      </c>
      <c r="O9" s="80">
        <f>SUM(O5:O8)</f>
        <v>55198080</v>
      </c>
      <c r="P9" s="80"/>
    </row>
    <row r="10" spans="1:21" x14ac:dyDescent="0.25">
      <c r="F10" s="83"/>
      <c r="G10" s="83"/>
      <c r="H10" s="83"/>
      <c r="I10" s="83"/>
      <c r="J10" s="83"/>
      <c r="K10" s="83"/>
      <c r="L10" s="83"/>
      <c r="M10" s="83"/>
      <c r="N10" s="83"/>
      <c r="O10" s="83"/>
    </row>
  </sheetData>
  <mergeCells count="1">
    <mergeCell ref="A9:E9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Depreciation</vt:lpstr>
      <vt:lpstr>Site Measurement</vt:lpstr>
      <vt:lpstr>Calculation</vt:lpstr>
      <vt:lpstr>22-23</vt:lpstr>
      <vt:lpstr>Annexure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</cp:lastModifiedBy>
  <cp:lastPrinted>2019-11-05T06:14:02Z</cp:lastPrinted>
  <dcterms:created xsi:type="dcterms:W3CDTF">2018-02-17T10:36:41Z</dcterms:created>
  <dcterms:modified xsi:type="dcterms:W3CDTF">2024-06-10T00:32:43Z</dcterms:modified>
</cp:coreProperties>
</file>