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 - Ab Road Khajrana Branch\Amit Dubey\"/>
    </mc:Choice>
  </mc:AlternateContent>
  <bookViews>
    <workbookView xWindow="0" yWindow="0" windowWidth="21600" windowHeight="9645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C14" i="2" l="1"/>
  <c r="F37" i="2" l="1"/>
  <c r="F36" i="2"/>
  <c r="L42" i="2" l="1"/>
  <c r="L41" i="2"/>
  <c r="L40" i="2"/>
  <c r="J34" i="2"/>
  <c r="H31" i="2" l="1"/>
  <c r="I31" i="2"/>
  <c r="I38" i="2" s="1"/>
  <c r="J31" i="2"/>
  <c r="H32" i="2"/>
  <c r="I32" i="2"/>
  <c r="J32" i="2"/>
  <c r="I33" i="2"/>
  <c r="J33" i="2"/>
  <c r="I34" i="2"/>
  <c r="I35" i="2"/>
  <c r="I36" i="2"/>
  <c r="I37" i="2"/>
  <c r="H38" i="2"/>
  <c r="H40" i="2" s="1"/>
  <c r="H41" i="2" s="1"/>
  <c r="H42" i="2" s="1"/>
  <c r="J38" i="2"/>
  <c r="J40" i="2" s="1"/>
  <c r="J41" i="2" s="1"/>
  <c r="J42" i="2" s="1"/>
  <c r="M34" i="2"/>
  <c r="I40" i="2" l="1"/>
  <c r="I41" i="2" s="1"/>
  <c r="I42" i="2" s="1"/>
  <c r="I47" i="2"/>
  <c r="I46" i="2"/>
  <c r="I48" i="2"/>
  <c r="C2" i="2"/>
  <c r="I17" i="2"/>
  <c r="K24" i="2"/>
  <c r="K25" i="2"/>
  <c r="K23" i="2"/>
  <c r="J27" i="2"/>
  <c r="K27" i="2" s="1"/>
  <c r="J23" i="2"/>
  <c r="J24" i="2"/>
  <c r="J25" i="2"/>
  <c r="H27" i="2"/>
  <c r="I27" i="2"/>
  <c r="I49" i="2" l="1"/>
  <c r="H48" i="2"/>
  <c r="J48" i="2"/>
  <c r="J47" i="2"/>
  <c r="H47" i="2"/>
  <c r="J46" i="2"/>
  <c r="I3" i="2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J49" i="2" l="1"/>
  <c r="L23" i="2"/>
  <c r="H46" i="2"/>
  <c r="H49" i="2" s="1"/>
  <c r="O11" i="2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<sst xmlns="http://schemas.openxmlformats.org/spreadsheetml/2006/main" count="84" uniqueCount="65">
  <si>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</si>
  <si>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</si>
  <si>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</si>
  <si>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</si>
  <si>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</si>
  <si>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</si>
  <si>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</si>
  <si>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</si>
  <si>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</si>
  <si>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</si>
  <si>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</si>
  <si>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</si>
  <si>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</si>
  <si>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</si>
  <si>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</si>
  <si>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</si>
  <si>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</si>
  <si>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</si>
  <si>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</si>
  <si>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</si>
  <si>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</si>
  <si>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</si>
  <si>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</si>
  <si>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</si>
  <si>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</si>
  <si>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</si>
  <si>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</si>
  <si>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</si>
  <si>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</si>
  <si>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</si>
  <si>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</si>
  <si>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</si>
  <si>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</si>
  <si>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</si>
  <si>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</si>
  <si>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</si>
  <si>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</si>
  <si>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</si>
  <si>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</si>
  <si>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</si>
  <si>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</si>
  <si>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</si>
  <si>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</si>
  <si>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</si>
  <si>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</si>
  <si>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Floor</t>
  </si>
  <si>
    <t xml:space="preserve">FAR area in Sq. M. </t>
  </si>
  <si>
    <t>Non FAR area in Sq. M.</t>
  </si>
  <si>
    <t>Ground Floor</t>
  </si>
  <si>
    <t>First Floor</t>
  </si>
  <si>
    <t>Total</t>
  </si>
  <si>
    <t xml:space="preserve">As per approved building plan, the structure area is as below, which is considered for valuation - </t>
  </si>
  <si>
    <t xml:space="preserve">Total Slab area in Sq. M. </t>
  </si>
  <si>
    <t>Total Slab up area in Sq. Ft.</t>
  </si>
  <si>
    <t>Second Floor</t>
  </si>
  <si>
    <t>Site Inspection</t>
  </si>
  <si>
    <t xml:space="preserve">First Floor </t>
  </si>
  <si>
    <t>Carpet Area in Sq. M.</t>
  </si>
  <si>
    <t>Built-Up Area in Sq. M.</t>
  </si>
  <si>
    <t>Built-Up Area in Sq. Ft.</t>
  </si>
  <si>
    <t>Built-Up Area In Sq. M. Site Inspection</t>
  </si>
  <si>
    <t>Built-Up Area In Sq. Ft. Site</t>
  </si>
  <si>
    <t>Approved Plan</t>
  </si>
  <si>
    <t>Site Insoection</t>
  </si>
  <si>
    <t>Considerd Valuation Built-Up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</si>
</sst>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3" fontId="1" fillId="0" borderId="1" xfId="0" applyNumberFormat="1" applyFont="1" applyBorder="1" applyAlignment="1">
      <alignment horizontal="right" vertical="top" wrapText="1"/>
    </xf>
    <xf numFmtId="164" fontId="8" fillId="0" borderId="0" xfId="1" applyNumberFormat="1" applyFont="1"/>
    <xf numFmtId="2" fontId="17" fillId="0" borderId="1" xfId="0" applyNumberFormat="1" applyFont="1" applyBorder="1"/>
    <xf numFmtId="0" fontId="17" fillId="0" borderId="1" xfId="0" applyFont="1" applyBorder="1" applyAlignment="1">
      <alignment horizontal="center"/>
    </xf>
    <xf numFmtId="1" fontId="1" fillId="0" borderId="0" xfId="0" applyNumberFormat="1" applyFont="1"/>
    <xf numFmtId="2" fontId="1" fillId="0" borderId="1" xfId="0" applyNumberFormat="1" applyFont="1" applyBorder="1"/>
    <xf numFmtId="2" fontId="8" fillId="0" borderId="1" xfId="0" applyNumberFormat="1" applyFont="1" applyBorder="1"/>
    <xf numFmtId="2" fontId="3" fillId="0" borderId="1" xfId="0" applyNumberFormat="1" applyFont="1" applyBorder="1"/>
    <xf numFmtId="0" fontId="9" fillId="0" borderId="0" xfId="0" applyFont="1" applyAlignment="1">
      <alignment horizontal="right" vertical="top" wrapText="1"/>
    </xf>
    <xf numFmtId="0" fontId="3" fillId="0" borderId="1" xfId="0" applyFont="1" applyBorder="1"/>
    <xf numFmtId="0" fontId="8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/>
    <xf numFmtId="2" fontId="1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right" vertical="center" wrapText="1"/>
    </xf>
    <xf numFmtId="1" fontId="1" fillId="0" borderId="9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1" fontId="1" fillId="2" borderId="7" xfId="0" applyNumberFormat="1" applyFont="1" applyFill="1" applyBorder="1" applyAlignment="1">
      <alignment horizontal="right" vertical="center" wrapText="1"/>
    </xf>
    <xf numFmtId="0" fontId="3" fillId="0" borderId="3" xfId="0" applyFont="1" applyBorder="1"/>
    <xf numFmtId="2" fontId="3" fillId="0" borderId="4" xfId="0" applyNumberFormat="1" applyFont="1" applyBorder="1"/>
    <xf numFmtId="2" fontId="3" fillId="0" borderId="8" xfId="0" applyNumberFormat="1" applyFont="1" applyBorder="1"/>
    <xf numFmtId="2" fontId="3" fillId="0" borderId="9" xfId="0" applyNumberFormat="1" applyFont="1" applyBorder="1"/>
    <xf numFmtId="2" fontId="9" fillId="3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20" sqref="F20"/>
    </sheetView>
  </sheetViews>
  <sheetFormatPr defaultRowHeight="16.5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6" width="13.85546875" style="7" bestFit="1" customWidth="1"/>
    <col min="7" max="7" width="22.28515625" style="7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58">
        <f>I17</f>
        <v>984.26015999999993</v>
      </c>
      <c r="D2" s="7" t="s">
        <v>44</v>
      </c>
      <c r="E2" s="4"/>
      <c r="F2" s="4"/>
      <c r="G2" s="25"/>
      <c r="H2" s="1" t="s">
        <v>39</v>
      </c>
      <c r="I2" s="58">
        <v>28800</v>
      </c>
      <c r="J2" s="58">
        <f>C2</f>
        <v>984.26015999999993</v>
      </c>
      <c r="K2" s="58">
        <f>I3</f>
        <v>2676</v>
      </c>
      <c r="L2" s="48">
        <f>J2*K2</f>
        <v>2633880.1881599999</v>
      </c>
      <c r="O2" s="55" t="s">
        <v>35</v>
      </c>
      <c r="P2" s="56">
        <f>C28</f>
        <v>11734561</v>
      </c>
      <c r="R2" s="20">
        <f>P2*0.025/12</f>
        <v>24447.002083333336</v>
      </c>
      <c r="S2" s="18" t="s">
        <v>34</v>
      </c>
    </row>
    <row r="3" spans="1:19">
      <c r="B3" s="24" t="s">
        <v>6</v>
      </c>
      <c r="C3" s="47">
        <v>8000</v>
      </c>
      <c r="D3" s="15"/>
      <c r="E3" s="26"/>
      <c r="F3" s="26"/>
      <c r="G3" s="15"/>
      <c r="H3" s="1" t="s">
        <v>40</v>
      </c>
      <c r="I3" s="58">
        <f>MROUND(I2/10.764,1)</f>
        <v>2676</v>
      </c>
      <c r="J3" s="58"/>
      <c r="K3" s="48"/>
      <c r="L3" s="48">
        <f>N11</f>
        <v>2654080</v>
      </c>
      <c r="O3" s="55" t="s">
        <v>35</v>
      </c>
      <c r="P3" s="56">
        <f>C28</f>
        <v>11734561</v>
      </c>
      <c r="Q3" s="7"/>
      <c r="R3" s="20">
        <f>P3*0.04/12</f>
        <v>39115.203333333331</v>
      </c>
      <c r="S3" s="57" t="s">
        <v>36</v>
      </c>
    </row>
    <row r="4" spans="1:19">
      <c r="B4" s="31" t="s">
        <v>18</v>
      </c>
      <c r="C4" s="48">
        <f>ROUND((C2*C3),0)</f>
        <v>7874081</v>
      </c>
      <c r="F4" s="22"/>
      <c r="G4" s="22"/>
      <c r="I4" s="48"/>
      <c r="J4" s="58"/>
      <c r="K4" s="48"/>
      <c r="L4" s="48">
        <f>SUM(L2:L3)</f>
        <v>5287960.1881600004</v>
      </c>
      <c r="O4" s="55" t="s">
        <v>35</v>
      </c>
      <c r="P4" s="56">
        <f>C28</f>
        <v>11734561</v>
      </c>
      <c r="Q4" s="7"/>
      <c r="R4" s="20">
        <f>P4*0.033/12</f>
        <v>32270.042750000004</v>
      </c>
      <c r="S4" s="18" t="s">
        <v>37</v>
      </c>
    </row>
    <row r="5" spans="1:19">
      <c r="B5" s="13" t="s">
        <v>14</v>
      </c>
    </row>
    <row r="6" spans="1:19" s="3" customFormat="1" ht="60">
      <c r="A6" s="37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8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39" t="s">
        <v>26</v>
      </c>
      <c r="N6" s="5" t="s">
        <v>17</v>
      </c>
      <c r="O6" s="5" t="s">
        <v>42</v>
      </c>
    </row>
    <row r="7" spans="1:19" s="3" customFormat="1" ht="15">
      <c r="A7" s="37"/>
      <c r="B7" s="4"/>
      <c r="C7" s="5" t="s">
        <v>43</v>
      </c>
      <c r="D7" s="4"/>
      <c r="E7" s="4"/>
      <c r="F7" s="4"/>
      <c r="G7" s="38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4">
        <v>1</v>
      </c>
      <c r="B8" s="41"/>
      <c r="C8" s="61">
        <v>1508</v>
      </c>
      <c r="D8" s="45">
        <v>2016</v>
      </c>
      <c r="E8" s="45">
        <v>2024</v>
      </c>
      <c r="F8" s="45">
        <v>60</v>
      </c>
      <c r="G8" s="49">
        <v>2000</v>
      </c>
      <c r="H8" s="50">
        <f t="shared" ref="H8" si="0">E8-D8</f>
        <v>8</v>
      </c>
      <c r="I8" s="50">
        <f t="shared" ref="I8" si="1">F8-H8</f>
        <v>52</v>
      </c>
      <c r="J8" s="50">
        <f t="shared" ref="J8" si="2">IF(H8&gt;=5,90*H8/F8,0)</f>
        <v>12</v>
      </c>
      <c r="K8" s="50">
        <f t="shared" ref="K8" si="3">G8/100*J8</f>
        <v>240</v>
      </c>
      <c r="L8" s="50">
        <f t="shared" ref="L8" si="4">ROUND((G8-K8),0)</f>
        <v>1760</v>
      </c>
      <c r="M8" s="50">
        <f t="shared" ref="M8" si="5">O8-N8</f>
        <v>361920</v>
      </c>
      <c r="N8" s="50">
        <f t="shared" ref="N8" si="6">ROUND((L8*C8),0)</f>
        <v>2654080</v>
      </c>
      <c r="O8" s="50">
        <f t="shared" ref="O8" si="7">ROUND((C8*G8),0)</f>
        <v>3016000</v>
      </c>
    </row>
    <row r="9" spans="1:19" s="11" customFormat="1">
      <c r="A9" s="46">
        <v>2</v>
      </c>
      <c r="B9" s="41"/>
      <c r="C9" s="40">
        <v>0</v>
      </c>
      <c r="D9" s="45">
        <v>0</v>
      </c>
      <c r="E9" s="45">
        <v>0</v>
      </c>
      <c r="F9" s="45">
        <v>60</v>
      </c>
      <c r="G9" s="49">
        <v>0</v>
      </c>
      <c r="H9" s="50">
        <f t="shared" ref="H9:H10" si="8">E9-D9</f>
        <v>0</v>
      </c>
      <c r="I9" s="50">
        <f t="shared" ref="I9:I10" si="9">F9-H9</f>
        <v>60</v>
      </c>
      <c r="J9" s="50">
        <f t="shared" ref="J9:J10" si="10">IF(H9&gt;=5,90*H9/F9,0)</f>
        <v>0</v>
      </c>
      <c r="K9" s="50">
        <f t="shared" ref="K9:K10" si="11">G9/100*J9</f>
        <v>0</v>
      </c>
      <c r="L9" s="50">
        <f t="shared" ref="L9:L10" si="12">ROUND((G9-K9),0)</f>
        <v>0</v>
      </c>
      <c r="M9" s="50">
        <f t="shared" ref="M9:M10" si="13">O9-N9</f>
        <v>0</v>
      </c>
      <c r="N9" s="50">
        <f t="shared" ref="N9:N10" si="14">ROUND((L9*C9),0)</f>
        <v>0</v>
      </c>
      <c r="O9" s="50">
        <f t="shared" ref="O9:O10" si="15">ROUND((C9*G9),0)</f>
        <v>0</v>
      </c>
    </row>
    <row r="10" spans="1:19" s="11" customFormat="1" ht="17.25" customHeight="1">
      <c r="A10" s="44">
        <v>3</v>
      </c>
      <c r="B10" s="41"/>
      <c r="C10" s="40">
        <v>0</v>
      </c>
      <c r="D10" s="45">
        <v>0</v>
      </c>
      <c r="E10" s="45">
        <v>0</v>
      </c>
      <c r="F10" s="45">
        <v>60</v>
      </c>
      <c r="G10" s="49">
        <v>0</v>
      </c>
      <c r="H10" s="50">
        <f t="shared" si="8"/>
        <v>0</v>
      </c>
      <c r="I10" s="50">
        <f t="shared" si="9"/>
        <v>60</v>
      </c>
      <c r="J10" s="50">
        <f t="shared" si="10"/>
        <v>0</v>
      </c>
      <c r="K10" s="50">
        <f t="shared" si="11"/>
        <v>0</v>
      </c>
      <c r="L10" s="50">
        <f t="shared" si="12"/>
        <v>0</v>
      </c>
      <c r="M10" s="50">
        <f t="shared" si="13"/>
        <v>0</v>
      </c>
      <c r="N10" s="50">
        <f t="shared" si="14"/>
        <v>0</v>
      </c>
      <c r="O10" s="50">
        <f t="shared" si="15"/>
        <v>0</v>
      </c>
    </row>
    <row r="11" spans="1:19">
      <c r="A11" s="24"/>
      <c r="B11" s="42"/>
      <c r="C11" s="43"/>
      <c r="D11" s="43"/>
      <c r="E11" s="43"/>
      <c r="F11" s="6"/>
      <c r="G11" s="50"/>
      <c r="H11" s="50"/>
      <c r="I11" s="50"/>
      <c r="J11" s="52"/>
      <c r="K11" s="50"/>
      <c r="L11" s="52"/>
      <c r="M11" s="50">
        <f>SUM(M8:M10)</f>
        <v>361920</v>
      </c>
      <c r="N11" s="50">
        <f>SUM(N8:N10)</f>
        <v>2654080</v>
      </c>
      <c r="O11" s="50">
        <f>SUM(O8:O10)</f>
        <v>3016000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101" t="s">
        <v>20</v>
      </c>
      <c r="C13" s="101"/>
      <c r="D13" s="11"/>
      <c r="E13" s="11"/>
      <c r="F13" s="12"/>
      <c r="G13" s="12"/>
      <c r="H13" s="60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3">
        <f>C8*80%</f>
        <v>1206.4000000000001</v>
      </c>
      <c r="D14" s="11"/>
      <c r="E14" s="11"/>
      <c r="F14" s="59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47">
        <v>1000</v>
      </c>
      <c r="D15" s="11"/>
      <c r="E15" s="11"/>
      <c r="F15" s="59"/>
      <c r="G15" s="12"/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1">
        <f>ROUND((C14*C15),0)</f>
        <v>1206400</v>
      </c>
      <c r="D16" s="11"/>
      <c r="E16" s="11"/>
      <c r="F16" s="59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59"/>
      <c r="G17" s="12"/>
      <c r="H17" s="11"/>
      <c r="I17" s="16">
        <f>91.44*10.764</f>
        <v>984.26015999999993</v>
      </c>
      <c r="J17" s="17"/>
      <c r="K17" s="12"/>
      <c r="L17" s="27"/>
      <c r="M17" s="27"/>
      <c r="N17" s="1"/>
      <c r="O17" s="1"/>
    </row>
    <row r="18" spans="1:15" ht="22.5" customHeight="1">
      <c r="B18" s="102" t="s">
        <v>15</v>
      </c>
      <c r="C18" s="103"/>
      <c r="D18" s="11"/>
      <c r="E18" s="11"/>
      <c r="F18" s="59"/>
      <c r="G18" s="12"/>
      <c r="H18" s="11"/>
      <c r="I18" s="12"/>
      <c r="J18" s="11"/>
      <c r="K18" s="12"/>
      <c r="L18" s="12"/>
      <c r="M18" s="12"/>
      <c r="N18" s="1"/>
      <c r="O18" s="1"/>
    </row>
    <row r="19" spans="1:15">
      <c r="B19" s="23" t="s">
        <v>11</v>
      </c>
      <c r="C19" s="53">
        <v>0</v>
      </c>
      <c r="E19" s="28"/>
      <c r="F19" s="59"/>
      <c r="G19" s="14"/>
      <c r="H19" s="1"/>
      <c r="J19" s="21"/>
      <c r="L19" s="7"/>
      <c r="N19" s="1"/>
      <c r="O19" s="1"/>
    </row>
    <row r="20" spans="1:15" ht="16.5" customHeight="1">
      <c r="B20" s="24" t="s">
        <v>6</v>
      </c>
      <c r="C20" s="47">
        <v>0</v>
      </c>
      <c r="D20" s="29"/>
      <c r="E20" s="22"/>
      <c r="F20" s="1"/>
      <c r="G20" s="1"/>
      <c r="H20" s="1"/>
      <c r="I20" s="1"/>
      <c r="K20" s="1"/>
      <c r="M20" s="1"/>
      <c r="N20" s="1"/>
      <c r="O20" s="1"/>
    </row>
    <row r="21" spans="1:15">
      <c r="B21" s="24" t="s">
        <v>7</v>
      </c>
      <c r="C21" s="51">
        <f>ROUND((C19*C20),0)</f>
        <v>0</v>
      </c>
      <c r="D21" s="9"/>
      <c r="E21" s="9"/>
      <c r="F21" s="104" t="s">
        <v>51</v>
      </c>
      <c r="G21" s="104"/>
      <c r="H21" s="104"/>
      <c r="I21" s="104"/>
      <c r="J21" s="104"/>
      <c r="K21" s="104"/>
      <c r="L21" s="104"/>
      <c r="M21" s="1"/>
      <c r="N21" s="1"/>
      <c r="O21" s="1"/>
    </row>
    <row r="22" spans="1:15" ht="33.75" thickBot="1">
      <c r="B22" s="36"/>
      <c r="C22" s="19"/>
      <c r="D22" s="9"/>
      <c r="E22" s="9"/>
      <c r="F22" s="1"/>
      <c r="G22" s="80" t="s">
        <v>45</v>
      </c>
      <c r="H22" s="80" t="s">
        <v>46</v>
      </c>
      <c r="I22" s="80" t="s">
        <v>47</v>
      </c>
      <c r="J22" s="80" t="s">
        <v>52</v>
      </c>
      <c r="K22" s="80" t="s">
        <v>53</v>
      </c>
      <c r="M22" s="1"/>
      <c r="N22" s="1"/>
      <c r="O22" s="1"/>
    </row>
    <row r="23" spans="1:15" ht="18" thickTop="1" thickBot="1">
      <c r="C23" s="9" t="s">
        <v>22</v>
      </c>
      <c r="D23" s="9"/>
      <c r="E23" s="9"/>
      <c r="F23" s="1"/>
      <c r="G23" s="85" t="s">
        <v>48</v>
      </c>
      <c r="H23" s="85">
        <v>42.18</v>
      </c>
      <c r="I23" s="85">
        <v>7.43</v>
      </c>
      <c r="J23" s="86">
        <f>SUM(H23:I23)</f>
        <v>49.61</v>
      </c>
      <c r="K23" s="87">
        <f>J23*10.764</f>
        <v>534.00203999999997</v>
      </c>
      <c r="L23" s="30">
        <f>J42-J23</f>
        <v>30.100144927536235</v>
      </c>
      <c r="M23" s="1"/>
      <c r="N23" s="1"/>
      <c r="O23" s="1"/>
    </row>
    <row r="24" spans="1:15" ht="18" thickTop="1" thickBot="1">
      <c r="B24" s="2" t="s">
        <v>13</v>
      </c>
      <c r="C24" s="48">
        <f>C4</f>
        <v>7874081</v>
      </c>
      <c r="D24" s="19"/>
      <c r="E24" s="19"/>
      <c r="F24" s="1"/>
      <c r="G24" s="85" t="s">
        <v>49</v>
      </c>
      <c r="H24" s="85">
        <v>42.18</v>
      </c>
      <c r="I24" s="85">
        <v>21.82</v>
      </c>
      <c r="J24" s="86">
        <f>SUM(H24:I24)</f>
        <v>64</v>
      </c>
      <c r="K24" s="87">
        <f t="shared" ref="K24:K27" si="16">J24*10.764</f>
        <v>688.89599999999996</v>
      </c>
      <c r="M24" s="1"/>
      <c r="N24" s="1"/>
      <c r="O24" s="1"/>
    </row>
    <row r="25" spans="1:15" ht="17.25" thickTop="1">
      <c r="B25" s="2" t="s">
        <v>14</v>
      </c>
      <c r="C25" s="48">
        <f>N11</f>
        <v>2654080</v>
      </c>
      <c r="D25" s="19"/>
      <c r="E25" s="19"/>
      <c r="F25" s="1"/>
      <c r="G25" s="81" t="s">
        <v>54</v>
      </c>
      <c r="H25" s="81">
        <v>42.18</v>
      </c>
      <c r="I25" s="82">
        <v>21.82</v>
      </c>
      <c r="J25" s="83">
        <f>SUM(H25:I25)</f>
        <v>64</v>
      </c>
      <c r="K25" s="84">
        <f t="shared" si="16"/>
        <v>688.89599999999996</v>
      </c>
      <c r="M25" s="1"/>
      <c r="N25" s="1"/>
      <c r="O25" s="1"/>
    </row>
    <row r="26" spans="1:15">
      <c r="B26" s="2" t="s">
        <v>21</v>
      </c>
      <c r="C26" s="48">
        <f>C16</f>
        <v>1206400</v>
      </c>
      <c r="D26" s="19"/>
      <c r="E26" s="19"/>
      <c r="F26" s="1"/>
      <c r="G26" s="76"/>
      <c r="H26" s="76"/>
      <c r="I26" s="76"/>
      <c r="J26" s="77"/>
      <c r="K26" s="78"/>
      <c r="M26" s="1"/>
      <c r="N26" s="1"/>
      <c r="O26" s="1"/>
    </row>
    <row r="27" spans="1:15">
      <c r="A27" s="1"/>
      <c r="B27" s="2" t="s">
        <v>12</v>
      </c>
      <c r="C27" s="48">
        <f>C21</f>
        <v>0</v>
      </c>
      <c r="D27" s="19"/>
      <c r="E27" s="19"/>
      <c r="F27" s="1"/>
      <c r="G27" s="75" t="s">
        <v>50</v>
      </c>
      <c r="H27" s="75">
        <f>SUM(H23:H26)</f>
        <v>126.53999999999999</v>
      </c>
      <c r="I27" s="75">
        <f>SUM(I23:I26)</f>
        <v>51.07</v>
      </c>
      <c r="J27" s="79">
        <f>SUM(J23:J26)</f>
        <v>177.61</v>
      </c>
      <c r="K27" s="78">
        <f t="shared" si="16"/>
        <v>1911.79404</v>
      </c>
      <c r="M27" s="1"/>
      <c r="N27" s="1"/>
      <c r="O27" s="1"/>
    </row>
    <row r="28" spans="1:15">
      <c r="A28" s="1"/>
      <c r="B28" s="13" t="s">
        <v>8</v>
      </c>
      <c r="C28" s="54">
        <f>C24+C25+C26+C27</f>
        <v>11734561</v>
      </c>
      <c r="D28" s="18"/>
      <c r="F28" s="1"/>
      <c r="G28" s="1"/>
      <c r="H28" s="1"/>
      <c r="I28" s="1"/>
      <c r="K28" s="1"/>
      <c r="M28" s="1"/>
      <c r="N28" s="1"/>
      <c r="O28" s="1"/>
    </row>
    <row r="29" spans="1:15" ht="17.25" thickBot="1">
      <c r="A29" s="1"/>
      <c r="B29" s="13" t="s">
        <v>9</v>
      </c>
      <c r="C29" s="54">
        <f>MROUND(C28*90%,1)</f>
        <v>10561105</v>
      </c>
      <c r="D29" s="20"/>
      <c r="F29" s="1"/>
      <c r="G29" s="1"/>
      <c r="H29" s="106" t="s">
        <v>55</v>
      </c>
      <c r="I29" s="107"/>
      <c r="J29" s="108"/>
      <c r="K29" s="1"/>
      <c r="M29" s="1"/>
      <c r="N29" s="1"/>
      <c r="O29" s="1"/>
    </row>
    <row r="30" spans="1:15" ht="17.25" thickBot="1">
      <c r="A30" s="1"/>
      <c r="B30" s="13" t="s">
        <v>10</v>
      </c>
      <c r="C30" s="54">
        <f>MROUND(C28*80%,1)</f>
        <v>9387649</v>
      </c>
      <c r="D30" s="20"/>
      <c r="F30" s="1"/>
      <c r="G30" s="1"/>
      <c r="H30" s="64" t="s">
        <v>54</v>
      </c>
      <c r="I30" s="64" t="s">
        <v>56</v>
      </c>
      <c r="J30" s="64" t="s">
        <v>48</v>
      </c>
      <c r="K30" s="1"/>
      <c r="L30" s="105" t="s">
        <v>64</v>
      </c>
      <c r="M30" s="105"/>
      <c r="N30" s="105"/>
      <c r="O30" s="1"/>
    </row>
    <row r="31" spans="1:15" ht="17.25" thickBot="1">
      <c r="A31" s="1"/>
      <c r="B31" s="2" t="s">
        <v>24</v>
      </c>
      <c r="C31" s="48">
        <f>O11</f>
        <v>3016000</v>
      </c>
      <c r="D31" s="30"/>
      <c r="F31" s="1"/>
      <c r="G31" s="1"/>
      <c r="H31" s="66">
        <f>13.2*20</f>
        <v>264</v>
      </c>
      <c r="I31" s="66">
        <f>13*13</f>
        <v>169</v>
      </c>
      <c r="J31" s="66">
        <f>13*15</f>
        <v>195</v>
      </c>
      <c r="K31" s="1"/>
      <c r="L31" s="93" t="s">
        <v>62</v>
      </c>
      <c r="M31" s="94">
        <v>534</v>
      </c>
      <c r="N31" s="95" t="s">
        <v>48</v>
      </c>
      <c r="O31" s="1"/>
    </row>
    <row r="32" spans="1:15" ht="17.25" thickBot="1">
      <c r="A32" s="1"/>
      <c r="B32" s="13" t="s">
        <v>41</v>
      </c>
      <c r="C32" s="62">
        <f>MROUND(C31*0.85,1)</f>
        <v>2563600</v>
      </c>
      <c r="F32" s="1"/>
      <c r="G32" s="1"/>
      <c r="H32" s="66">
        <f>9*12</f>
        <v>108</v>
      </c>
      <c r="I32" s="66">
        <f>13*11</f>
        <v>143</v>
      </c>
      <c r="J32" s="66">
        <f>11*13</f>
        <v>143</v>
      </c>
      <c r="K32" s="1"/>
      <c r="L32" s="93" t="s">
        <v>62</v>
      </c>
      <c r="M32" s="94">
        <v>689</v>
      </c>
      <c r="N32" s="95" t="s">
        <v>49</v>
      </c>
      <c r="O32" s="1"/>
    </row>
    <row r="33" spans="1:15" ht="17.25" thickBot="1">
      <c r="A33" s="1"/>
      <c r="F33" s="1"/>
      <c r="G33" s="1"/>
      <c r="H33" s="67"/>
      <c r="I33" s="66">
        <f>7*5</f>
        <v>35</v>
      </c>
      <c r="J33" s="66">
        <f>21*13</f>
        <v>273</v>
      </c>
      <c r="K33" s="1"/>
      <c r="L33" s="96" t="s">
        <v>63</v>
      </c>
      <c r="M33" s="97">
        <v>446</v>
      </c>
      <c r="N33" s="98" t="s">
        <v>54</v>
      </c>
      <c r="O33" s="1"/>
    </row>
    <row r="34" spans="1:15" ht="17.25" thickBot="1">
      <c r="A34" s="1"/>
      <c r="F34" s="1"/>
      <c r="G34" s="1"/>
      <c r="H34" s="66"/>
      <c r="I34" s="66">
        <f>11*5</f>
        <v>55</v>
      </c>
      <c r="J34" s="66">
        <f>8*13</f>
        <v>104</v>
      </c>
      <c r="K34" s="1"/>
      <c r="L34" s="99" t="s">
        <v>50</v>
      </c>
      <c r="M34" s="99">
        <f>SUM(M31:M33)</f>
        <v>1669</v>
      </c>
      <c r="N34" s="100"/>
      <c r="O34" s="1"/>
    </row>
    <row r="35" spans="1:15">
      <c r="A35" s="1"/>
      <c r="F35" s="1"/>
      <c r="G35" s="1"/>
      <c r="H35" s="68"/>
      <c r="I35" s="66">
        <f>12*5</f>
        <v>60</v>
      </c>
      <c r="J35" s="66"/>
      <c r="K35" s="1"/>
      <c r="M35" s="1"/>
      <c r="N35" s="1"/>
      <c r="O35" s="1"/>
    </row>
    <row r="36" spans="1:15">
      <c r="A36" s="1"/>
      <c r="F36" s="65">
        <f>H31*20%</f>
        <v>52.800000000000004</v>
      </c>
      <c r="G36" s="1"/>
      <c r="H36" s="68"/>
      <c r="I36" s="66">
        <f>13*10</f>
        <v>130</v>
      </c>
      <c r="J36" s="66"/>
      <c r="K36" s="1"/>
      <c r="M36" s="1"/>
      <c r="N36" s="1"/>
      <c r="O36" s="1"/>
    </row>
    <row r="37" spans="1:15">
      <c r="A37" s="1"/>
      <c r="F37" s="30">
        <f>H31+F36</f>
        <v>316.8</v>
      </c>
      <c r="G37" s="1"/>
      <c r="H37" s="68"/>
      <c r="I37" s="66">
        <f>9*16</f>
        <v>144</v>
      </c>
      <c r="J37" s="66"/>
      <c r="K37" s="1"/>
      <c r="M37" s="1"/>
      <c r="N37" s="1"/>
      <c r="O37" s="1"/>
    </row>
    <row r="38" spans="1:15">
      <c r="A38" s="1"/>
      <c r="F38" s="1"/>
      <c r="G38" s="1"/>
      <c r="H38" s="63">
        <f>SUM(H31:H37)</f>
        <v>372</v>
      </c>
      <c r="I38" s="63">
        <f>SUM(I31:I37)</f>
        <v>736</v>
      </c>
      <c r="J38" s="63">
        <f>SUM(J31:J37)</f>
        <v>715</v>
      </c>
      <c r="K38" s="65"/>
      <c r="M38" s="1"/>
      <c r="N38" s="1"/>
      <c r="O38" s="1"/>
    </row>
    <row r="39" spans="1:15">
      <c r="A39" s="1"/>
      <c r="F39" s="1"/>
      <c r="K39" s="1"/>
      <c r="M39" s="1"/>
      <c r="N39" s="1"/>
      <c r="O39" s="1"/>
    </row>
    <row r="40" spans="1:15" ht="17.25" thickBot="1">
      <c r="A40" s="1"/>
      <c r="F40" s="1"/>
      <c r="G40" s="70"/>
      <c r="H40" s="90">
        <f>H38*20%</f>
        <v>74.400000000000006</v>
      </c>
      <c r="I40" s="70">
        <f>I38*20%</f>
        <v>147.20000000000002</v>
      </c>
      <c r="J40" s="70">
        <f>J38*20%</f>
        <v>143</v>
      </c>
      <c r="K40" s="1"/>
      <c r="L40" s="30">
        <f>J38/10.764</f>
        <v>66.425120772946869</v>
      </c>
      <c r="M40" s="1"/>
      <c r="N40" s="1"/>
      <c r="O40" s="1"/>
    </row>
    <row r="41" spans="1:15" ht="17.25" thickBot="1">
      <c r="A41" s="1"/>
      <c r="B41" s="1"/>
      <c r="F41" s="1"/>
      <c r="G41" s="88" t="s">
        <v>61</v>
      </c>
      <c r="H41" s="92">
        <f>SUM(H38:H40)</f>
        <v>446.4</v>
      </c>
      <c r="I41" s="89">
        <f>SUM(I38:I40)</f>
        <v>883.2</v>
      </c>
      <c r="J41" s="68">
        <f>SUM(J38:J40)</f>
        <v>858</v>
      </c>
      <c r="K41" s="1"/>
      <c r="L41" s="30">
        <f>I38/10.764</f>
        <v>68.376068376068375</v>
      </c>
      <c r="M41" s="1"/>
      <c r="N41" s="1"/>
      <c r="O41" s="1"/>
    </row>
    <row r="42" spans="1:15">
      <c r="A42" s="1"/>
      <c r="B42" s="1"/>
      <c r="F42" s="1"/>
      <c r="G42" s="70" t="s">
        <v>60</v>
      </c>
      <c r="H42" s="91">
        <f>H41/10.764</f>
        <v>41.471571906354512</v>
      </c>
      <c r="I42" s="68">
        <f t="shared" ref="I42:J42" si="17">I41/10.764</f>
        <v>82.051282051282058</v>
      </c>
      <c r="J42" s="68">
        <f t="shared" si="17"/>
        <v>79.710144927536234</v>
      </c>
      <c r="K42" s="1"/>
      <c r="L42" s="30">
        <f>H38/10.764</f>
        <v>34.559643255295434</v>
      </c>
      <c r="M42" s="1"/>
      <c r="N42" s="1"/>
      <c r="O42" s="1"/>
    </row>
    <row r="43" spans="1:15">
      <c r="A43" s="1"/>
      <c r="B43" s="1"/>
      <c r="F43" s="1"/>
      <c r="K43" s="1"/>
      <c r="M43" s="1"/>
      <c r="N43" s="1"/>
      <c r="O43" s="1"/>
    </row>
    <row r="44" spans="1:15">
      <c r="A44" s="1"/>
      <c r="B44" s="1"/>
    </row>
    <row r="45" spans="1:15" ht="33">
      <c r="A45" s="1"/>
      <c r="B45" s="1"/>
      <c r="G45" s="33"/>
      <c r="H45" s="71" t="s">
        <v>57</v>
      </c>
      <c r="I45" s="71" t="s">
        <v>58</v>
      </c>
      <c r="J45" s="71" t="s">
        <v>59</v>
      </c>
    </row>
    <row r="46" spans="1:15">
      <c r="A46" s="1"/>
      <c r="B46" s="1"/>
      <c r="G46" s="1"/>
      <c r="H46" s="72">
        <f>J42</f>
        <v>79.710144927536234</v>
      </c>
      <c r="I46" s="72">
        <f>J38/10.764</f>
        <v>66.425120772946869</v>
      </c>
      <c r="J46" s="73">
        <f>J41</f>
        <v>858</v>
      </c>
    </row>
    <row r="47" spans="1:15">
      <c r="A47" s="1"/>
      <c r="B47" s="1"/>
      <c r="G47" s="32"/>
      <c r="H47" s="72">
        <f>I42</f>
        <v>82.051282051282058</v>
      </c>
      <c r="I47" s="72">
        <f>I38/10.764</f>
        <v>68.376068376068375</v>
      </c>
      <c r="J47" s="73">
        <f>I41</f>
        <v>883.2</v>
      </c>
    </row>
    <row r="48" spans="1:15">
      <c r="A48" s="1"/>
      <c r="B48" s="1"/>
      <c r="G48" s="32"/>
      <c r="H48" s="72">
        <f>H42</f>
        <v>41.471571906354512</v>
      </c>
      <c r="I48" s="72">
        <f>H38/10.764</f>
        <v>34.559643255295434</v>
      </c>
      <c r="J48" s="73">
        <f>H41</f>
        <v>446.4</v>
      </c>
    </row>
    <row r="49" spans="1:10">
      <c r="A49" s="1"/>
      <c r="B49" s="1"/>
      <c r="G49" s="34"/>
      <c r="H49" s="74">
        <f>SUM(H46:H48)</f>
        <v>203.2329988851728</v>
      </c>
      <c r="I49" s="74">
        <f>SUM(I46:I48)</f>
        <v>169.36083240431068</v>
      </c>
      <c r="J49" s="73">
        <f>SUM(J46:J48)</f>
        <v>2187.6</v>
      </c>
    </row>
    <row r="50" spans="1:10">
      <c r="A50" s="1"/>
      <c r="B50" s="1"/>
      <c r="F50" s="33"/>
    </row>
    <row r="51" spans="1:10">
      <c r="A51" s="1"/>
      <c r="B51" s="1"/>
      <c r="F51" s="69"/>
    </row>
    <row r="52" spans="1:10">
      <c r="A52" s="1"/>
      <c r="B52" s="1"/>
      <c r="F52" s="32"/>
    </row>
    <row r="53" spans="1:10">
      <c r="A53" s="1"/>
      <c r="B53" s="1"/>
    </row>
    <row r="54" spans="1:10">
      <c r="A54" s="1"/>
      <c r="B54" s="1"/>
    </row>
    <row r="55" spans="1:10">
      <c r="A55" s="1"/>
      <c r="B55" s="1"/>
      <c r="G55" s="32"/>
      <c r="H55" s="32"/>
      <c r="I55" s="32"/>
    </row>
    <row r="56" spans="1:10">
      <c r="A56" s="1"/>
      <c r="B56" s="1"/>
      <c r="G56" s="32"/>
      <c r="H56" s="32"/>
      <c r="I56" s="32"/>
    </row>
    <row r="57" spans="1:10">
      <c r="A57" s="1"/>
      <c r="B57" s="1"/>
      <c r="F57" s="32"/>
      <c r="G57" s="32"/>
      <c r="H57" s="32"/>
      <c r="I57" s="32"/>
    </row>
    <row r="58" spans="1:10">
      <c r="A58" s="1"/>
      <c r="B58" s="1"/>
      <c r="F58" s="32"/>
      <c r="G58" s="32"/>
      <c r="H58" s="32"/>
      <c r="I58" s="32"/>
    </row>
    <row r="59" spans="1:10">
      <c r="A59" s="1"/>
      <c r="B59" s="1"/>
      <c r="F59" s="32"/>
      <c r="G59" s="32"/>
      <c r="H59" s="32"/>
      <c r="I59" s="32"/>
    </row>
    <row r="60" spans="1:10">
      <c r="A60" s="1"/>
      <c r="B60" s="1"/>
      <c r="F60" s="32"/>
      <c r="G60" s="32"/>
      <c r="H60" s="32"/>
      <c r="I60" s="32"/>
    </row>
    <row r="61" spans="1:10">
      <c r="A61" s="1"/>
      <c r="B61" s="1"/>
    </row>
    <row r="62" spans="1:10">
      <c r="A62" s="1"/>
      <c r="B62" s="1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  <c r="F66" s="35"/>
    </row>
    <row r="67" spans="1:6">
      <c r="A67" s="1"/>
      <c r="B67" s="1"/>
      <c r="F67" s="35"/>
    </row>
    <row r="68" spans="1:6">
      <c r="A68" s="1"/>
      <c r="B68" s="1"/>
      <c r="F68" s="35"/>
    </row>
    <row r="69" spans="1:6">
      <c r="A69" s="1"/>
      <c r="B69" s="1"/>
      <c r="F69" s="35"/>
    </row>
    <row r="70" spans="1:6">
      <c r="A70" s="1"/>
      <c r="B70" s="1"/>
      <c r="F70" s="35"/>
    </row>
    <row r="71" spans="1:6">
      <c r="A71" s="1"/>
      <c r="B71" s="1"/>
      <c r="F71" s="35"/>
    </row>
    <row r="72" spans="1:6">
      <c r="A72" s="1"/>
      <c r="B72" s="1"/>
      <c r="F72" s="35"/>
    </row>
    <row r="73" spans="1:6">
      <c r="A73" s="1"/>
      <c r="B73" s="1"/>
      <c r="F73" s="35"/>
    </row>
    <row r="74" spans="1:6">
      <c r="A74" s="1"/>
      <c r="B74" s="1"/>
      <c r="F74" s="35"/>
    </row>
    <row r="75" spans="1:6">
      <c r="A75" s="1"/>
      <c r="B75" s="1"/>
      <c r="F75" s="35"/>
    </row>
    <row r="76" spans="1:6">
      <c r="A76" s="1"/>
      <c r="B76" s="1"/>
    </row>
    <row r="77" spans="1:6">
      <c r="A77" s="1"/>
      <c r="B77" s="1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</sheetData>
  <mergeCells count="5">
    <mergeCell ref="B13:C13"/>
    <mergeCell ref="B18:C18"/>
    <mergeCell ref="F21:L21"/>
    <mergeCell ref="L30:N30"/>
    <mergeCell ref="H29:J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0" zoomScaleNormal="10" workbookViewId="0">
      <selection activeCell="L30" sqref="L3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2024-03-05T09:09:25Z</dcterms:modified>
</cp:coreProperties>
</file>