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C:\Users\91809\Downloads\"/>
    </mc:Choice>
  </mc:AlternateContent>
  <xr:revisionPtr revIDLastSave="0" documentId="13_ncr:1_{C3B52DC9-38B9-4ED1-9913-D3644CF98EE6}" xr6:coauthVersionLast="47" xr6:coauthVersionMax="47" xr10:uidLastSave="{00000000-0000-0000-0000-000000000000}"/>
  <bookViews>
    <workbookView xWindow="11916" yWindow="156" windowWidth="11256" windowHeight="12000" tabRatio="643" activeTab="1" xr2:uid="{00000000-000D-0000-FFFF-FFFF00000000}"/>
  </bookViews>
  <sheets>
    <sheet name="Summary" sheetId="10" r:id="rId1"/>
    <sheet name="Valuation" sheetId="3" r:id="rId2"/>
    <sheet name="Sheet1" sheetId="11" r:id="rId3"/>
    <sheet name="Land" sheetId="8" r:id="rId4"/>
    <sheet name="Circle Rate" sheetId="6" r:id="rId5"/>
    <sheet name="P&amp;M" sheetId="9" r:id="rId6"/>
    <sheet name="Sale Instances" sheetId="7" r:id="rId7"/>
  </sheets>
  <definedNames>
    <definedName name="_xlnm._FilterDatabase" localSheetId="1" hidden="1">Valuation!$A$7:$O$17</definedName>
    <definedName name="_xlnm.Print_Area" localSheetId="1">Valuation!$A$1:$R$38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9" l="1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G4" i="9"/>
  <c r="G3" i="9"/>
  <c r="G2" i="9"/>
  <c r="O18" i="3"/>
  <c r="I23" i="3"/>
  <c r="D2" i="10"/>
  <c r="F2" i="10" s="1"/>
  <c r="D34" i="11"/>
  <c r="D30" i="11"/>
  <c r="D32" i="11"/>
  <c r="D31" i="11"/>
  <c r="D28" i="11"/>
  <c r="D26" i="11"/>
  <c r="D21" i="11"/>
  <c r="F15" i="11"/>
  <c r="G5" i="11"/>
  <c r="G4" i="11"/>
  <c r="E10" i="11"/>
  <c r="D6" i="11"/>
  <c r="E2" i="10"/>
  <c r="D5" i="3"/>
  <c r="D3" i="3"/>
  <c r="F22" i="9"/>
  <c r="D21" i="9"/>
  <c r="E20" i="9"/>
  <c r="D20" i="9"/>
  <c r="D19" i="9"/>
  <c r="E19" i="9" s="1"/>
  <c r="E18" i="9"/>
  <c r="D18" i="9"/>
  <c r="D17" i="9"/>
  <c r="E16" i="9"/>
  <c r="D16" i="9"/>
  <c r="D15" i="9"/>
  <c r="E15" i="9" s="1"/>
  <c r="E14" i="9"/>
  <c r="D14" i="9"/>
  <c r="D13" i="9"/>
  <c r="E12" i="9"/>
  <c r="D12" i="9"/>
  <c r="D11" i="9"/>
  <c r="E11" i="9" s="1"/>
  <c r="E10" i="9"/>
  <c r="D10" i="9"/>
  <c r="D9" i="9"/>
  <c r="E8" i="9"/>
  <c r="D8" i="9"/>
  <c r="D7" i="9"/>
  <c r="E7" i="9" s="1"/>
  <c r="E6" i="9"/>
  <c r="D6" i="9"/>
  <c r="D5" i="9"/>
  <c r="E4" i="9"/>
  <c r="D4" i="9"/>
  <c r="D3" i="9"/>
  <c r="E3" i="9" s="1"/>
  <c r="E2" i="9"/>
  <c r="D2" i="9"/>
  <c r="E5" i="9" l="1"/>
  <c r="E9" i="9"/>
  <c r="E13" i="9"/>
  <c r="E17" i="9"/>
  <c r="E21" i="9"/>
  <c r="H21" i="3"/>
  <c r="D12" i="8"/>
  <c r="O16" i="3"/>
  <c r="I16" i="3"/>
  <c r="J16" i="3" s="1"/>
  <c r="K16" i="3" s="1"/>
  <c r="L16" i="3" s="1"/>
  <c r="N16" i="3" s="1"/>
  <c r="O15" i="3"/>
  <c r="I15" i="3"/>
  <c r="J15" i="3" s="1"/>
  <c r="K15" i="3" s="1"/>
  <c r="L15" i="3" s="1"/>
  <c r="N15" i="3" s="1"/>
  <c r="O14" i="3"/>
  <c r="I14" i="3"/>
  <c r="J14" i="3" s="1"/>
  <c r="K14" i="3" s="1"/>
  <c r="L14" i="3" s="1"/>
  <c r="N14" i="3" s="1"/>
  <c r="I8" i="3"/>
  <c r="J8" i="3" s="1"/>
  <c r="K8" i="3" s="1"/>
  <c r="L8" i="3" s="1"/>
  <c r="O13" i="3"/>
  <c r="I13" i="3"/>
  <c r="J13" i="3" s="1"/>
  <c r="K13" i="3" s="1"/>
  <c r="L13" i="3" s="1"/>
  <c r="N13" i="3" s="1"/>
  <c r="O12" i="3"/>
  <c r="I12" i="3"/>
  <c r="J12" i="3" s="1"/>
  <c r="K12" i="3" s="1"/>
  <c r="L12" i="3" s="1"/>
  <c r="N12" i="3" s="1"/>
  <c r="O11" i="3"/>
  <c r="I11" i="3"/>
  <c r="J11" i="3" s="1"/>
  <c r="K11" i="3" s="1"/>
  <c r="L11" i="3" s="1"/>
  <c r="N11" i="3" s="1"/>
  <c r="O10" i="3"/>
  <c r="I10" i="3"/>
  <c r="J10" i="3" s="1"/>
  <c r="K10" i="3" s="1"/>
  <c r="L10" i="3" s="1"/>
  <c r="N10" i="3" s="1"/>
  <c r="O8" i="3"/>
  <c r="D17" i="3"/>
  <c r="G22" i="9" l="1"/>
  <c r="D4" i="10" s="1"/>
  <c r="M16" i="3"/>
  <c r="M15" i="3"/>
  <c r="M14" i="3"/>
  <c r="M12" i="3"/>
  <c r="M13" i="3"/>
  <c r="N8" i="3"/>
  <c r="M8" i="3" s="1"/>
  <c r="M10" i="3"/>
  <c r="M11" i="3"/>
  <c r="E4" i="10" l="1"/>
  <c r="F4" i="10"/>
  <c r="O9" i="3"/>
  <c r="O17" i="3" s="1"/>
  <c r="D37" i="3" l="1"/>
  <c r="O19" i="3"/>
  <c r="I9" i="3"/>
  <c r="J9" i="3" s="1"/>
  <c r="K9" i="3" s="1"/>
  <c r="L9" i="3" s="1"/>
  <c r="N9" i="3" s="1"/>
  <c r="N17" i="3" s="1"/>
  <c r="D31" i="3" l="1"/>
  <c r="F17" i="11"/>
  <c r="D22" i="11" s="1"/>
  <c r="D23" i="11" s="1"/>
  <c r="D3" i="10"/>
  <c r="D30" i="3"/>
  <c r="M9" i="3"/>
  <c r="M17" i="3" s="1"/>
  <c r="E3" i="10" l="1"/>
  <c r="E5" i="10" s="1"/>
  <c r="F3" i="10"/>
  <c r="F5" i="10" s="1"/>
  <c r="D5" i="10"/>
  <c r="L3" i="3"/>
  <c r="N3" i="3" s="1"/>
  <c r="D38" i="3" s="1"/>
  <c r="D27" i="3" l="1"/>
  <c r="D22" i="3"/>
  <c r="D32" i="3" s="1"/>
  <c r="D34" i="3" l="1"/>
  <c r="D36" i="3" l="1"/>
  <c r="D35" i="3" l="1"/>
</calcChain>
</file>

<file path=xl/sharedStrings.xml><?xml version="1.0" encoding="utf-8"?>
<sst xmlns="http://schemas.openxmlformats.org/spreadsheetml/2006/main" count="143" uniqueCount="115">
  <si>
    <t>Land Value</t>
  </si>
  <si>
    <t>Government value</t>
  </si>
  <si>
    <t>land area</t>
  </si>
  <si>
    <t>Rate</t>
  </si>
  <si>
    <t>Structure Value</t>
  </si>
  <si>
    <t>Items</t>
  </si>
  <si>
    <t>Valuation Year</t>
  </si>
  <si>
    <t>Total Life of Structure</t>
  </si>
  <si>
    <t>Full Rate</t>
  </si>
  <si>
    <t>Age Of Build.</t>
  </si>
  <si>
    <t>% of the depreciation rate to be deducted</t>
  </si>
  <si>
    <t>% Value</t>
  </si>
  <si>
    <t>Final Depreciated Rate to be considered</t>
  </si>
  <si>
    <t>Depreciation</t>
  </si>
  <si>
    <t>Final Depreciated Value to be considered</t>
  </si>
  <si>
    <t>Insurable Value / Full Value</t>
  </si>
  <si>
    <t>Interior and other Development</t>
  </si>
  <si>
    <t>Built up area</t>
  </si>
  <si>
    <t>Value</t>
  </si>
  <si>
    <t>Land Development Value</t>
  </si>
  <si>
    <t>Normal Case</t>
  </si>
  <si>
    <t>Interior and Other Development</t>
  </si>
  <si>
    <t>Total Value</t>
  </si>
  <si>
    <t>Realisable Value</t>
  </si>
  <si>
    <t>Distress Value</t>
  </si>
  <si>
    <t>Insurable Value</t>
  </si>
  <si>
    <t>Address</t>
  </si>
  <si>
    <t>Government Value</t>
  </si>
  <si>
    <t>Land Development-Road, Drainage, Compound Wall, Gates etc</t>
  </si>
  <si>
    <t xml:space="preserve">S. No. </t>
  </si>
  <si>
    <t>Year of Const.</t>
  </si>
  <si>
    <t>Total BUA (Sq. M)</t>
  </si>
  <si>
    <t>Total</t>
  </si>
  <si>
    <t>Type of Structure</t>
  </si>
  <si>
    <t>Land</t>
  </si>
  <si>
    <t>S. No.</t>
  </si>
  <si>
    <t>Village</t>
  </si>
  <si>
    <t>Gut No.</t>
  </si>
  <si>
    <t>Area (Hector)</t>
  </si>
  <si>
    <t>Kolhar Bk</t>
  </si>
  <si>
    <t>Lohagaon</t>
  </si>
  <si>
    <t>194/A/1</t>
  </si>
  <si>
    <t>195/A/1</t>
  </si>
  <si>
    <t>196/2</t>
  </si>
  <si>
    <t>198/A/1</t>
  </si>
  <si>
    <t>205/A/2</t>
  </si>
  <si>
    <t>207/A/1/2</t>
  </si>
  <si>
    <t>81/2</t>
  </si>
  <si>
    <t>80/2</t>
  </si>
  <si>
    <t>85/2</t>
  </si>
  <si>
    <t>115/2/2</t>
  </si>
  <si>
    <t>Circel Rate</t>
  </si>
  <si>
    <t>Market Rate</t>
  </si>
  <si>
    <t>FMW (Rs.)</t>
  </si>
  <si>
    <t>Administration Building</t>
  </si>
  <si>
    <t>Store Building</t>
  </si>
  <si>
    <t>Mechanical Striver</t>
  </si>
  <si>
    <t>TG Building (power house)</t>
  </si>
  <si>
    <t>Boiler/Turbing (M.C.C) Building</t>
  </si>
  <si>
    <t>W.T.P Building</t>
  </si>
  <si>
    <t>Full Handlling System MCC Building</t>
  </si>
  <si>
    <t>Switch yard MCC Building</t>
  </si>
  <si>
    <t>Fire house (Pump house)</t>
  </si>
  <si>
    <t>Lease Deed is valid for the period of 28 years 6 months starding from 12.07.2010 till 11.01.2039</t>
  </si>
  <si>
    <t>Area in Acres</t>
  </si>
  <si>
    <t>RCC</t>
  </si>
  <si>
    <t>Asset description</t>
  </si>
  <si>
    <t>Age (Yrs)</t>
  </si>
  <si>
    <t>Residual Life (Yrs)</t>
  </si>
  <si>
    <t>Fair Market Value (Rs.)</t>
  </si>
  <si>
    <t>Boiler</t>
  </si>
  <si>
    <t>RCC Strainght Chimney</t>
  </si>
  <si>
    <t>Steam Turbine &amp; Generator</t>
  </si>
  <si>
    <t>Air Cooled Condenser Parts Supply</t>
  </si>
  <si>
    <t>EOT Crane</t>
  </si>
  <si>
    <t>Water Treatment System</t>
  </si>
  <si>
    <t>Fuel Handling System/ System-Bagasse Handling System</t>
  </si>
  <si>
    <t xml:space="preserve">Ash Handling System System </t>
  </si>
  <si>
    <t>Dense Phase Ash Handling System Dense Phase Pneumatic Conveying System</t>
  </si>
  <si>
    <t>PIPING &amp; APPPUTENANCE</t>
  </si>
  <si>
    <t>FIRE FIGHTING SYSTEM / FIRE PUMP HOUSE</t>
  </si>
  <si>
    <t>LV ELECTRICAL (LT PANELS) (CABLE LAYING &amp; TERMINATION WORKS)</t>
  </si>
  <si>
    <t>SWITCHYARD</t>
  </si>
  <si>
    <t>TRANSFORMER</t>
  </si>
  <si>
    <t>DCS AND FIELD INSTRUMENTATION</t>
  </si>
  <si>
    <t>CENTRIFUGAL PUMPS &amp; DRIVES</t>
  </si>
  <si>
    <t>DG SETS WITH CONTROL PANEL AND SYNCHRONIZATION PANELS</t>
  </si>
  <si>
    <t>AIR CONDITIONING SYSTEM
Modular Air Cooler Of capacity 36000 cu.m/hr.complete with Metalic Enclosure, Centrifungal Blower, Air Inlet Louvre, Coarse Filter, Fine Filter, Evaporative Cooling Unit, etc., for PCC,MCC 7 VFD Panel Room @ 3.5M level in TG Hall</t>
  </si>
  <si>
    <t>TRANSMISSION LINE</t>
  </si>
  <si>
    <t>Cap. Year</t>
  </si>
  <si>
    <t>Net Block as on 31.03.2017 (Rs.)</t>
  </si>
  <si>
    <t>Asset Class</t>
  </si>
  <si>
    <t>Working Sheet No.</t>
  </si>
  <si>
    <t>FMV (Rs.)</t>
  </si>
  <si>
    <t>RV (Rs.)</t>
  </si>
  <si>
    <t>DSV (Rs.)</t>
  </si>
  <si>
    <t>Building</t>
  </si>
  <si>
    <t>Plant &amp; Machinery</t>
  </si>
  <si>
    <t>Land Area (Sq. M)</t>
  </si>
  <si>
    <t>Rate adopted for Valuation (Rs./ Sq. M)</t>
  </si>
  <si>
    <t>Value of Land (Rs.)</t>
  </si>
  <si>
    <t>A</t>
  </si>
  <si>
    <t>B</t>
  </si>
  <si>
    <t>C</t>
  </si>
  <si>
    <t>Lease Period</t>
  </si>
  <si>
    <t>Balance Lease as on 17.02.2024</t>
  </si>
  <si>
    <t>27.07.2010</t>
  </si>
  <si>
    <t>15 Years</t>
  </si>
  <si>
    <t>Capitalized Rental Value</t>
  </si>
  <si>
    <t>Rent</t>
  </si>
  <si>
    <t>Factor</t>
  </si>
  <si>
    <t>FMV of Building</t>
  </si>
  <si>
    <t>Total Value of L&amp;B</t>
  </si>
  <si>
    <t>Deferring Value @7% for 15 years</t>
  </si>
  <si>
    <t>Total Value of Lessor's Interest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</si>
</sst>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 * #,##0_ ;_ * \-#,##0_ ;_ * &quot;-&quot;??_ ;_ @_ "/>
    <numFmt numFmtId="165" formatCode="_(* #,##0.00_);_(* \(#,##0.00\);_(* &quot;-&quot;??_);_(@_)"/>
    <numFmt numFmtId="166" formatCode="_-* #,##0.0_-;\-* #,##0.0_-;_-* &quot;-&quot;?_-;_-@_-"/>
    <numFmt numFmtId="167" formatCode="_-* #,##0_-;\-* #,##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b/>
      <sz val="11"/>
      <color rgb="FFFF0000"/>
      <name val="Arial Narrow"/>
      <family val="2"/>
    </font>
    <font>
      <sz val="10"/>
      <name val="Arial"/>
      <family val="2"/>
    </font>
    <font>
      <b/>
      <sz val="11"/>
      <name val="Arial Narrow"/>
      <family val="2"/>
    </font>
    <font>
      <b/>
      <sz val="11"/>
      <color theme="1"/>
      <name val="Rupee Foradian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0" fontId="8" fillId="0" borderId="0"/>
    <xf numFmtId="165" fontId="1" fillId="0" borderId="0" applyFont="0" applyFill="0" applyBorder="0" applyAlignment="0" applyProtection="0"/>
    <xf numFmtId="0" fontId="1" fillId="0" borderId="0">
      <alignment vertical="center"/>
    </xf>
    <xf numFmtId="165" fontId="1" fillId="0" borderId="0" applyFont="0" applyFill="0" applyBorder="0" applyAlignment="0" applyProtection="0"/>
    <xf numFmtId="0" fontId="1" fillId="0" borderId="0"/>
  </cellStyleXfs>
  <cellXfs count="99">
    <xf numFmtId="0" fontId="0" fillId="0" borderId="0" xfId="0"/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0" fontId="2" fillId="0" borderId="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wrapText="1"/>
    </xf>
    <xf numFmtId="0" fontId="3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top"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3" fontId="0" fillId="0" borderId="0" xfId="0" applyNumberFormat="1"/>
    <xf numFmtId="0" fontId="2" fillId="0" borderId="3" xfId="0" applyFont="1" applyBorder="1" applyAlignment="1">
      <alignment wrapText="1"/>
    </xf>
    <xf numFmtId="43" fontId="0" fillId="0" borderId="0" xfId="1" applyFont="1"/>
    <xf numFmtId="164" fontId="0" fillId="0" borderId="0" xfId="1" applyNumberFormat="1" applyFont="1"/>
    <xf numFmtId="164" fontId="0" fillId="0" borderId="0" xfId="1" applyNumberFormat="1" applyFont="1" applyAlignment="1">
      <alignment vertical="center"/>
    </xf>
    <xf numFmtId="0" fontId="2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9" fillId="0" borderId="0" xfId="0" applyFont="1" applyAlignment="1">
      <alignment horizontal="center" vertical="top" wrapText="1" shrinkToFit="1"/>
    </xf>
    <xf numFmtId="0" fontId="5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 shrinkToFit="1"/>
    </xf>
    <xf numFmtId="0" fontId="7" fillId="0" borderId="1" xfId="0" applyFont="1" applyBorder="1" applyAlignment="1">
      <alignment horizontal="center" vertical="center" wrapText="1" shrinkToFi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164" fontId="9" fillId="0" borderId="1" xfId="1" applyNumberFormat="1" applyFont="1" applyBorder="1" applyAlignment="1">
      <alignment horizontal="center" vertical="center" wrapText="1" shrinkToFit="1"/>
    </xf>
    <xf numFmtId="164" fontId="2" fillId="0" borderId="0" xfId="1" applyNumberFormat="1" applyFont="1" applyAlignment="1">
      <alignment horizontal="right" vertical="top" wrapText="1"/>
    </xf>
    <xf numFmtId="164" fontId="3" fillId="0" borderId="1" xfId="1" applyNumberFormat="1" applyFont="1" applyBorder="1" applyAlignment="1">
      <alignment horizontal="center" vertical="center" wrapText="1" shrinkToFit="1"/>
    </xf>
    <xf numFmtId="164" fontId="6" fillId="0" borderId="0" xfId="1" applyNumberFormat="1" applyFont="1" applyAlignment="1">
      <alignment horizontal="left" vertical="top" wrapText="1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4" fillId="0" borderId="0" xfId="0" applyFont="1" applyAlignment="1">
      <alignment wrapText="1"/>
    </xf>
    <xf numFmtId="164" fontId="4" fillId="0" borderId="0" xfId="1" applyNumberFormat="1" applyFont="1" applyAlignment="1">
      <alignment wrapText="1"/>
    </xf>
    <xf numFmtId="164" fontId="2" fillId="0" borderId="0" xfId="1" applyNumberFormat="1" applyFont="1" applyAlignment="1">
      <alignment wrapText="1"/>
    </xf>
    <xf numFmtId="0" fontId="2" fillId="0" borderId="0" xfId="0" applyFont="1" applyAlignment="1">
      <alignment vertical="center" wrapText="1"/>
    </xf>
    <xf numFmtId="4" fontId="2" fillId="0" borderId="0" xfId="0" applyNumberFormat="1" applyFont="1" applyAlignment="1">
      <alignment wrapText="1"/>
    </xf>
    <xf numFmtId="4" fontId="4" fillId="0" borderId="0" xfId="0" applyNumberFormat="1" applyFont="1" applyAlignment="1">
      <alignment wrapText="1"/>
    </xf>
    <xf numFmtId="4" fontId="4" fillId="0" borderId="1" xfId="0" applyNumberFormat="1" applyFont="1" applyBorder="1" applyAlignment="1">
      <alignment vertical="top" wrapText="1"/>
    </xf>
    <xf numFmtId="4" fontId="2" fillId="0" borderId="1" xfId="0" applyNumberFormat="1" applyFont="1" applyBorder="1" applyAlignment="1">
      <alignment horizontal="center" wrapText="1"/>
    </xf>
    <xf numFmtId="0" fontId="5" fillId="0" borderId="0" xfId="0" applyFont="1" applyAlignment="1">
      <alignment wrapText="1"/>
    </xf>
    <xf numFmtId="164" fontId="5" fillId="0" borderId="0" xfId="1" applyNumberFormat="1" applyFont="1" applyAlignment="1">
      <alignment wrapText="1"/>
    </xf>
    <xf numFmtId="0" fontId="3" fillId="0" borderId="0" xfId="0" applyFont="1" applyAlignment="1">
      <alignment horizontal="center" wrapText="1"/>
    </xf>
    <xf numFmtId="0" fontId="2" fillId="0" borderId="1" xfId="0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right" vertical="center" wrapText="1"/>
    </xf>
    <xf numFmtId="4" fontId="4" fillId="0" borderId="1" xfId="0" applyNumberFormat="1" applyFont="1" applyBorder="1" applyAlignment="1">
      <alignment horizontal="right" vertical="center" wrapText="1"/>
    </xf>
    <xf numFmtId="164" fontId="2" fillId="0" borderId="1" xfId="1" applyNumberFormat="1" applyFont="1" applyBorder="1" applyAlignment="1">
      <alignment horizontal="right" vertical="center" wrapText="1"/>
    </xf>
    <xf numFmtId="0" fontId="7" fillId="0" borderId="1" xfId="0" applyFont="1" applyBorder="1" applyAlignment="1">
      <alignment vertical="center" wrapText="1"/>
    </xf>
    <xf numFmtId="164" fontId="7" fillId="0" borderId="1" xfId="1" applyNumberFormat="1" applyFont="1" applyBorder="1" applyAlignment="1">
      <alignment vertical="center" wrapText="1"/>
    </xf>
    <xf numFmtId="4" fontId="7" fillId="0" borderId="1" xfId="0" applyNumberFormat="1" applyFont="1" applyBorder="1" applyAlignment="1">
      <alignment vertical="center" wrapText="1"/>
    </xf>
    <xf numFmtId="164" fontId="3" fillId="0" borderId="1" xfId="1" applyNumberFormat="1" applyFont="1" applyBorder="1" applyAlignment="1">
      <alignment vertical="center" wrapText="1"/>
    </xf>
    <xf numFmtId="164" fontId="3" fillId="0" borderId="1" xfId="1" applyNumberFormat="1" applyFont="1" applyBorder="1" applyAlignment="1">
      <alignment horizontal="right" vertical="center" wrapText="1"/>
    </xf>
    <xf numFmtId="0" fontId="4" fillId="0" borderId="0" xfId="0" applyFont="1" applyAlignment="1">
      <alignment vertical="top" wrapText="1"/>
    </xf>
    <xf numFmtId="164" fontId="4" fillId="0" borderId="0" xfId="1" applyNumberFormat="1" applyFont="1" applyAlignment="1">
      <alignment vertical="top" wrapText="1"/>
    </xf>
    <xf numFmtId="4" fontId="4" fillId="0" borderId="0" xfId="0" applyNumberFormat="1" applyFont="1" applyAlignment="1">
      <alignment vertical="top" wrapText="1"/>
    </xf>
    <xf numFmtId="164" fontId="2" fillId="0" borderId="0" xfId="1" applyNumberFormat="1" applyFont="1" applyAlignment="1">
      <alignment vertical="top" wrapText="1"/>
    </xf>
    <xf numFmtId="164" fontId="5" fillId="0" borderId="0" xfId="1" applyNumberFormat="1" applyFont="1" applyAlignment="1">
      <alignment vertical="top" wrapText="1"/>
    </xf>
    <xf numFmtId="4" fontId="5" fillId="0" borderId="1" xfId="0" applyNumberFormat="1" applyFont="1" applyBorder="1" applyAlignment="1">
      <alignment wrapText="1"/>
    </xf>
    <xf numFmtId="4" fontId="5" fillId="0" borderId="1" xfId="0" applyNumberFormat="1" applyFont="1" applyBorder="1" applyAlignment="1">
      <alignment vertical="top" wrapText="1"/>
    </xf>
    <xf numFmtId="4" fontId="4" fillId="0" borderId="1" xfId="0" applyNumberFormat="1" applyFont="1" applyBorder="1" applyAlignment="1">
      <alignment wrapText="1"/>
    </xf>
    <xf numFmtId="164" fontId="4" fillId="0" borderId="0" xfId="1" applyNumberFormat="1" applyFont="1" applyAlignment="1">
      <alignment horizontal="center" wrapText="1"/>
    </xf>
    <xf numFmtId="164" fontId="7" fillId="0" borderId="0" xfId="1" applyNumberFormat="1" applyFont="1" applyAlignment="1">
      <alignment wrapText="1"/>
    </xf>
    <xf numFmtId="0" fontId="7" fillId="0" borderId="0" xfId="0" applyFont="1" applyAlignment="1">
      <alignment wrapText="1"/>
    </xf>
    <xf numFmtId="0" fontId="3" fillId="0" borderId="1" xfId="0" applyFont="1" applyBorder="1" applyAlignment="1">
      <alignment horizontal="center" vertical="top" wrapText="1"/>
    </xf>
    <xf numFmtId="164" fontId="4" fillId="0" borderId="1" xfId="1" applyNumberFormat="1" applyFont="1" applyBorder="1" applyAlignment="1">
      <alignment vertical="center" wrapText="1"/>
    </xf>
    <xf numFmtId="4" fontId="7" fillId="0" borderId="0" xfId="0" applyNumberFormat="1" applyFont="1" applyAlignment="1">
      <alignment wrapText="1"/>
    </xf>
    <xf numFmtId="164" fontId="7" fillId="0" borderId="1" xfId="1" applyNumberFormat="1" applyFont="1" applyBorder="1" applyAlignment="1">
      <alignment wrapText="1"/>
    </xf>
    <xf numFmtId="0" fontId="10" fillId="0" borderId="0" xfId="0" applyFont="1" applyAlignment="1">
      <alignment horizontal="justify" vertical="center"/>
    </xf>
    <xf numFmtId="43" fontId="2" fillId="0" borderId="1" xfId="1" applyFont="1" applyBorder="1" applyAlignment="1">
      <alignment vertical="center" wrapText="1"/>
    </xf>
    <xf numFmtId="0" fontId="3" fillId="0" borderId="1" xfId="0" applyFont="1" applyBorder="1" applyAlignment="1">
      <alignment horizontal="right" vertical="center" wrapText="1"/>
    </xf>
    <xf numFmtId="0" fontId="9" fillId="0" borderId="1" xfId="0" applyFont="1" applyBorder="1" applyAlignment="1">
      <alignment horizontal="left" vertical="center" wrapText="1" shrinkToFit="1"/>
    </xf>
    <xf numFmtId="164" fontId="4" fillId="0" borderId="0" xfId="1" applyNumberFormat="1" applyFont="1" applyAlignment="1">
      <alignment vertical="center" wrapText="1"/>
    </xf>
    <xf numFmtId="164" fontId="3" fillId="0" borderId="1" xfId="1" applyNumberFormat="1" applyFont="1" applyBorder="1" applyAlignment="1">
      <alignment horizontal="center" vertical="center" wrapText="1"/>
    </xf>
    <xf numFmtId="164" fontId="7" fillId="0" borderId="0" xfId="1" applyNumberFormat="1" applyFont="1" applyAlignment="1">
      <alignment horizontal="center" vertical="top" wrapText="1"/>
    </xf>
    <xf numFmtId="43" fontId="2" fillId="0" borderId="0" xfId="1" applyFont="1" applyAlignment="1">
      <alignment wrapText="1"/>
    </xf>
    <xf numFmtId="43" fontId="3" fillId="0" borderId="1" xfId="1" applyFont="1" applyBorder="1" applyAlignment="1">
      <alignment vertical="center" wrapText="1"/>
    </xf>
    <xf numFmtId="166" fontId="2" fillId="0" borderId="0" xfId="0" applyNumberFormat="1" applyFont="1" applyAlignment="1">
      <alignment vertical="top" wrapText="1"/>
    </xf>
    <xf numFmtId="164" fontId="4" fillId="0" borderId="0" xfId="1" applyNumberFormat="1" applyFont="1" applyBorder="1" applyAlignment="1">
      <alignment wrapText="1"/>
    </xf>
    <xf numFmtId="164" fontId="2" fillId="0" borderId="0" xfId="1" applyNumberFormat="1" applyFont="1" applyBorder="1" applyAlignment="1">
      <alignment horizontal="right" vertical="center" wrapText="1"/>
    </xf>
    <xf numFmtId="164" fontId="2" fillId="0" borderId="0" xfId="1" applyNumberFormat="1" applyFont="1" applyBorder="1"/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167" fontId="3" fillId="0" borderId="1" xfId="1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167" fontId="2" fillId="0" borderId="1" xfId="1" applyNumberFormat="1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64" fontId="2" fillId="0" borderId="1" xfId="1" applyNumberFormat="1" applyFont="1" applyBorder="1" applyAlignment="1">
      <alignment vertical="center" wrapText="1"/>
    </xf>
    <xf numFmtId="164" fontId="0" fillId="0" borderId="0" xfId="1" applyNumberFormat="1" applyFont="1" applyAlignment="1">
      <alignment horizontal="right"/>
    </xf>
    <xf numFmtId="164" fontId="0" fillId="0" borderId="0" xfId="1" applyNumberFormat="1" applyFont="1" applyAlignment="1">
      <alignment horizontal="center" wrapText="1"/>
    </xf>
    <xf numFmtId="164" fontId="11" fillId="0" borderId="0" xfId="1" applyNumberFormat="1" applyFont="1" applyAlignment="1">
      <alignment horizontal="right"/>
    </xf>
    <xf numFmtId="0" fontId="3" fillId="0" borderId="2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0" borderId="0" xfId="0" applyFont="1" applyAlignment="1">
      <alignment horizontal="center" vertical="center" wrapText="1"/>
    </xf>
  </cellXfs>
  <cellStyles count="7">
    <cellStyle name="Comma" xfId="1" builtinId="3"/>
    <cellStyle name="Comma 2" xfId="3" xr:uid="{00000000-0005-0000-0000-000001000000}"/>
    <cellStyle name="Comma 7" xfId="5" xr:uid="{1E2D2EC4-82BF-4EB6-B91B-C1A9F33B7F5A}"/>
    <cellStyle name="Normal" xfId="0" builtinId="0"/>
    <cellStyle name="Normal 2" xfId="2" xr:uid="{00000000-0005-0000-0000-000003000000}"/>
    <cellStyle name="Normal 47 2 2" xfId="4" xr:uid="{3A1CF754-E838-4D63-83B5-17AE0F8CE845}"/>
    <cellStyle name="Normal 7" xfId="6" xr:uid="{197D75AC-89EE-4BA3-A453-7BC05EC32CA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24</xdr:col>
      <xdr:colOff>544936</xdr:colOff>
      <xdr:row>47</xdr:row>
      <xdr:rowOff>48855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60A5516-74C3-2693-BA0A-AA8989B6C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14413336" cy="881185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26</xdr:col>
      <xdr:colOff>135474</xdr:colOff>
      <xdr:row>97</xdr:row>
      <xdr:rowOff>115459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5276C9E-D3B1-18D3-AD18-939392357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0287000"/>
          <a:ext cx="15223074" cy="83069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17</xdr:col>
      <xdr:colOff>218896</xdr:colOff>
      <xdr:row>52</xdr:row>
      <xdr:rowOff>20356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DC74FA1-2F6D-C669-42BA-32DA30F1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0235" y="571500"/>
          <a:ext cx="14775337" cy="935485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19</xdr:col>
      <xdr:colOff>189925</xdr:colOff>
      <xdr:row>107</xdr:row>
      <xdr:rowOff>67987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C3245FC-4C39-9E78-FC1B-10D2A965A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0235" y="11049000"/>
          <a:ext cx="15956602" cy="94024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267DB-3DE1-45C8-A198-924020864A8E}">
  <dimension ref="A1:F8"/>
  <sheetViews>
    <sheetView workbookViewId="0">
      <selection activeCell="D2" sqref="D2:D5"/>
    </sheetView>
  </sheetViews>
  <sheetFormatPr defaultRowHeight="14.4" x14ac:dyDescent="0.3"/>
  <cols>
    <col min="1" max="1" width="4.33203125" customWidth="1"/>
    <col min="2" max="2" width="23.44140625" customWidth="1"/>
    <col min="3" max="3" width="17.88671875" style="91" customWidth="1"/>
    <col min="4" max="4" width="16" style="14" customWidth="1"/>
    <col min="5" max="5" width="15.44140625" style="14" customWidth="1"/>
    <col min="6" max="6" width="12.5546875" style="14" customWidth="1"/>
  </cols>
  <sheetData>
    <row r="1" spans="1:6" ht="27.6" x14ac:dyDescent="0.3">
      <c r="A1" s="22" t="s">
        <v>29</v>
      </c>
      <c r="B1" s="72" t="s">
        <v>91</v>
      </c>
      <c r="C1" s="20" t="s">
        <v>92</v>
      </c>
      <c r="D1" s="25" t="s">
        <v>93</v>
      </c>
      <c r="E1" s="25" t="s">
        <v>94</v>
      </c>
      <c r="F1" s="25" t="s">
        <v>95</v>
      </c>
    </row>
    <row r="2" spans="1:6" ht="20.25" customHeight="1" x14ac:dyDescent="0.3">
      <c r="A2" s="44">
        <v>1</v>
      </c>
      <c r="B2" s="24" t="s">
        <v>34</v>
      </c>
      <c r="C2" s="44">
        <v>1</v>
      </c>
      <c r="D2" s="92">
        <f>+Sheet1!D34</f>
        <v>60949436.009999998</v>
      </c>
      <c r="E2" s="92">
        <f>+D2*0.9</f>
        <v>54854492.409000002</v>
      </c>
      <c r="F2" s="92">
        <f>+D2*0.8</f>
        <v>48759548.807999998</v>
      </c>
    </row>
    <row r="3" spans="1:6" ht="20.25" customHeight="1" x14ac:dyDescent="0.3">
      <c r="A3" s="44">
        <v>2</v>
      </c>
      <c r="B3" s="24" t="s">
        <v>96</v>
      </c>
      <c r="C3" s="44">
        <v>2</v>
      </c>
      <c r="D3" s="92">
        <f>+Valuation!N17</f>
        <v>42921513.375</v>
      </c>
      <c r="E3" s="92">
        <f t="shared" ref="E3" si="0">+D3*0.9</f>
        <v>38629362.037500001</v>
      </c>
      <c r="F3" s="92">
        <f t="shared" ref="F3" si="1">+D3*0.8</f>
        <v>34337210.700000003</v>
      </c>
    </row>
    <row r="4" spans="1:6" ht="20.25" customHeight="1" x14ac:dyDescent="0.3">
      <c r="A4" s="44">
        <v>3</v>
      </c>
      <c r="B4" s="24" t="s">
        <v>97</v>
      </c>
      <c r="C4" s="44">
        <v>3</v>
      </c>
      <c r="D4" s="92">
        <f>+'P&amp;M'!G22</f>
        <v>991939685.625</v>
      </c>
      <c r="E4" s="92">
        <f>+D4*0.85</f>
        <v>843148732.78125</v>
      </c>
      <c r="F4" s="92">
        <f>+D4*0.7</f>
        <v>694357779.9375</v>
      </c>
    </row>
    <row r="5" spans="1:6" ht="20.25" customHeight="1" x14ac:dyDescent="0.3">
      <c r="A5" s="44"/>
      <c r="B5" s="24"/>
      <c r="C5" s="71" t="s">
        <v>32</v>
      </c>
      <c r="D5" s="52">
        <f>SUM(D2:D4)</f>
        <v>1095810635.01</v>
      </c>
      <c r="E5" s="52">
        <f t="shared" ref="E5:F5" si="2">SUM(E2:E4)</f>
        <v>936632587.22775006</v>
      </c>
      <c r="F5" s="52">
        <f t="shared" si="2"/>
        <v>777454539.44550002</v>
      </c>
    </row>
    <row r="6" spans="1:6" ht="20.25" customHeight="1" x14ac:dyDescent="0.3"/>
    <row r="7" spans="1:6" ht="20.25" customHeight="1" x14ac:dyDescent="0.3"/>
    <row r="8" spans="1:6" ht="20.25" customHeight="1" x14ac:dyDescent="0.3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R145"/>
  <sheetViews>
    <sheetView tabSelected="1" topLeftCell="I1" workbookViewId="0">
      <selection activeCell="N17" sqref="N17:O17"/>
    </sheetView>
  </sheetViews>
  <sheetFormatPr defaultColWidth="9.109375" defaultRowHeight="13.8" x14ac:dyDescent="0.25"/>
  <cols>
    <col min="1" max="1" width="4.33203125" style="30" customWidth="1"/>
    <col min="2" max="2" width="23.44140625" style="6" customWidth="1"/>
    <col min="3" max="3" width="9.33203125" style="6" customWidth="1"/>
    <col min="4" max="4" width="14.33203125" style="6" customWidth="1"/>
    <col min="5" max="5" width="10.88671875" style="6" customWidth="1"/>
    <col min="6" max="6" width="10.6640625" style="6" customWidth="1"/>
    <col min="7" max="7" width="10.33203125" style="6" customWidth="1"/>
    <col min="8" max="8" width="9.6640625" style="6" customWidth="1"/>
    <col min="9" max="9" width="8" style="6" customWidth="1"/>
    <col min="10" max="10" width="12.109375" style="6" customWidth="1"/>
    <col min="11" max="11" width="9" style="33" customWidth="1"/>
    <col min="12" max="12" width="12" style="34" customWidth="1"/>
    <col min="13" max="13" width="15.88671875" style="34" customWidth="1"/>
    <col min="14" max="14" width="15" style="6" customWidth="1"/>
    <col min="15" max="15" width="15.109375" style="33" customWidth="1"/>
    <col min="16" max="16" width="15.44140625" style="35" customWidth="1"/>
    <col min="17" max="17" width="14.88671875" style="34" customWidth="1"/>
    <col min="18" max="18" width="14.88671875" style="34" bestFit="1" customWidth="1"/>
    <col min="19" max="16384" width="9.109375" style="6"/>
  </cols>
  <sheetData>
    <row r="1" spans="1:17" x14ac:dyDescent="0.25">
      <c r="B1" s="6" t="s">
        <v>26</v>
      </c>
    </row>
    <row r="2" spans="1:17" x14ac:dyDescent="0.25">
      <c r="A2" s="29"/>
      <c r="B2" s="29"/>
      <c r="C2" s="29"/>
      <c r="D2" s="36" t="s">
        <v>64</v>
      </c>
      <c r="E2" s="29"/>
      <c r="F2" s="29"/>
      <c r="G2" s="29"/>
      <c r="L2" s="6"/>
      <c r="M2" s="73" t="s">
        <v>1</v>
      </c>
      <c r="N2" s="34"/>
    </row>
    <row r="3" spans="1:17" x14ac:dyDescent="0.25">
      <c r="B3" s="12" t="s">
        <v>2</v>
      </c>
      <c r="D3" s="37">
        <f>+Land!D12*10000</f>
        <v>205700.00000000003</v>
      </c>
      <c r="F3" s="98" t="s">
        <v>63</v>
      </c>
      <c r="G3" s="98"/>
      <c r="H3" s="98"/>
      <c r="I3" s="98"/>
      <c r="J3" s="35"/>
      <c r="K3" s="38"/>
      <c r="L3" s="37">
        <f>D3</f>
        <v>205700.00000000003</v>
      </c>
      <c r="M3" s="35">
        <v>25930</v>
      </c>
      <c r="N3" s="34">
        <f>L3*M3</f>
        <v>5333801000.000001</v>
      </c>
    </row>
    <row r="4" spans="1:17" x14ac:dyDescent="0.25">
      <c r="B4" s="3" t="s">
        <v>3</v>
      </c>
      <c r="C4" s="3"/>
      <c r="D4" s="39">
        <v>525</v>
      </c>
      <c r="E4" s="3"/>
      <c r="F4" s="3"/>
      <c r="G4" s="40"/>
      <c r="J4" s="76"/>
      <c r="K4" s="38"/>
      <c r="M4" s="35"/>
      <c r="P4" s="34"/>
    </row>
    <row r="5" spans="1:17" x14ac:dyDescent="0.25">
      <c r="B5" s="4" t="s">
        <v>18</v>
      </c>
      <c r="C5" s="4"/>
      <c r="D5" s="38">
        <f>+D3*D4</f>
        <v>107992500.00000001</v>
      </c>
      <c r="E5" s="4"/>
      <c r="F5" s="4"/>
      <c r="G5" s="4"/>
      <c r="J5" s="76"/>
      <c r="K5" s="41"/>
      <c r="L5" s="42"/>
      <c r="P5" s="34"/>
    </row>
    <row r="6" spans="1:17" x14ac:dyDescent="0.25">
      <c r="B6" s="2" t="s">
        <v>4</v>
      </c>
      <c r="C6" s="2"/>
      <c r="D6" s="2"/>
      <c r="E6" s="2"/>
      <c r="F6" s="2"/>
      <c r="G6" s="2"/>
      <c r="J6" s="76"/>
    </row>
    <row r="7" spans="1:17" s="43" customFormat="1" ht="55.2" x14ac:dyDescent="0.25">
      <c r="A7" s="22" t="s">
        <v>29</v>
      </c>
      <c r="B7" s="72" t="s">
        <v>5</v>
      </c>
      <c r="C7" s="72" t="s">
        <v>33</v>
      </c>
      <c r="D7" s="20" t="s">
        <v>31</v>
      </c>
      <c r="E7" s="20" t="s">
        <v>30</v>
      </c>
      <c r="F7" s="20" t="s">
        <v>6</v>
      </c>
      <c r="G7" s="20" t="s">
        <v>7</v>
      </c>
      <c r="H7" s="25" t="s">
        <v>8</v>
      </c>
      <c r="I7" s="21" t="s">
        <v>9</v>
      </c>
      <c r="J7" s="21" t="s">
        <v>10</v>
      </c>
      <c r="K7" s="21" t="s">
        <v>11</v>
      </c>
      <c r="L7" s="27" t="s">
        <v>12</v>
      </c>
      <c r="M7" s="74" t="s">
        <v>13</v>
      </c>
      <c r="N7" s="27" t="s">
        <v>14</v>
      </c>
      <c r="O7" s="27" t="s">
        <v>15</v>
      </c>
    </row>
    <row r="8" spans="1:17" s="5" customFormat="1" x14ac:dyDescent="0.3">
      <c r="A8" s="44">
        <v>1</v>
      </c>
      <c r="B8" s="24" t="s">
        <v>54</v>
      </c>
      <c r="C8" s="24" t="s">
        <v>65</v>
      </c>
      <c r="D8" s="70">
        <v>223.13</v>
      </c>
      <c r="E8" s="19">
        <v>2015</v>
      </c>
      <c r="F8" s="19">
        <v>2024</v>
      </c>
      <c r="G8" s="19">
        <v>24</v>
      </c>
      <c r="H8" s="45">
        <v>20000</v>
      </c>
      <c r="I8" s="46">
        <f t="shared" ref="I8" si="0">F8-E8</f>
        <v>9</v>
      </c>
      <c r="J8" s="46">
        <f t="shared" ref="J8" si="1">IF(I8&gt;=5,90*I8/G8,0)</f>
        <v>33.75</v>
      </c>
      <c r="K8" s="47">
        <f t="shared" ref="K8" si="2">H8/100*J8</f>
        <v>6750</v>
      </c>
      <c r="L8" s="48">
        <f t="shared" ref="L8" si="3">+H8-K8</f>
        <v>13250</v>
      </c>
      <c r="M8" s="48">
        <f t="shared" ref="M8" si="4">O8-N8</f>
        <v>1506127.5</v>
      </c>
      <c r="N8" s="48">
        <f t="shared" ref="N8" si="5">+L8*D8</f>
        <v>2956472.5</v>
      </c>
      <c r="O8" s="48">
        <f t="shared" ref="O8" si="6">+D8*H8</f>
        <v>4462600</v>
      </c>
    </row>
    <row r="9" spans="1:17" s="5" customFormat="1" x14ac:dyDescent="0.3">
      <c r="A9" s="44">
        <v>2</v>
      </c>
      <c r="B9" s="24" t="s">
        <v>55</v>
      </c>
      <c r="C9" s="24" t="s">
        <v>65</v>
      </c>
      <c r="D9" s="70">
        <v>210.62</v>
      </c>
      <c r="E9" s="19">
        <v>2015</v>
      </c>
      <c r="F9" s="19">
        <v>2024</v>
      </c>
      <c r="G9" s="19">
        <v>24</v>
      </c>
      <c r="H9" s="45">
        <v>20000</v>
      </c>
      <c r="I9" s="46">
        <f t="shared" ref="I9" si="7">F9-E9</f>
        <v>9</v>
      </c>
      <c r="J9" s="46">
        <f t="shared" ref="J9" si="8">IF(I9&gt;=5,90*I9/G9,0)</f>
        <v>33.75</v>
      </c>
      <c r="K9" s="47">
        <f t="shared" ref="K9" si="9">H9/100*J9</f>
        <v>6750</v>
      </c>
      <c r="L9" s="48">
        <f>+H9-K9</f>
        <v>13250</v>
      </c>
      <c r="M9" s="48">
        <f t="shared" ref="M9" si="10">O9-N9</f>
        <v>1421685</v>
      </c>
      <c r="N9" s="48">
        <f>+L9*D9</f>
        <v>2790715</v>
      </c>
      <c r="O9" s="48">
        <f>+D9*H9</f>
        <v>4212400</v>
      </c>
    </row>
    <row r="10" spans="1:17" s="5" customFormat="1" x14ac:dyDescent="0.3">
      <c r="A10" s="44">
        <v>3</v>
      </c>
      <c r="B10" s="24" t="s">
        <v>56</v>
      </c>
      <c r="C10" s="24"/>
      <c r="D10" s="70">
        <v>396</v>
      </c>
      <c r="E10" s="19">
        <v>2015</v>
      </c>
      <c r="F10" s="19">
        <v>2024</v>
      </c>
      <c r="G10" s="19">
        <v>24</v>
      </c>
      <c r="H10" s="45">
        <v>15000</v>
      </c>
      <c r="I10" s="46">
        <f t="shared" ref="I10:I13" si="11">F10-E10</f>
        <v>9</v>
      </c>
      <c r="J10" s="46">
        <f t="shared" ref="J10:J13" si="12">IF(I10&gt;=5,90*I10/G10,0)</f>
        <v>33.75</v>
      </c>
      <c r="K10" s="47">
        <f t="shared" ref="K10:K13" si="13">H10/100*J10</f>
        <v>5062.5</v>
      </c>
      <c r="L10" s="48">
        <f t="shared" ref="L10:L13" si="14">+H10-K10</f>
        <v>9937.5</v>
      </c>
      <c r="M10" s="48">
        <f t="shared" ref="M10:M13" si="15">O10-N10</f>
        <v>2004750</v>
      </c>
      <c r="N10" s="48">
        <f t="shared" ref="N10:N13" si="16">+L10*D10</f>
        <v>3935250</v>
      </c>
      <c r="O10" s="48">
        <f t="shared" ref="O10:O13" si="17">+D10*H10</f>
        <v>5940000</v>
      </c>
    </row>
    <row r="11" spans="1:17" s="5" customFormat="1" x14ac:dyDescent="0.3">
      <c r="A11" s="44">
        <v>4</v>
      </c>
      <c r="B11" s="24" t="s">
        <v>57</v>
      </c>
      <c r="C11" s="24" t="s">
        <v>65</v>
      </c>
      <c r="D11" s="70">
        <v>581.76</v>
      </c>
      <c r="E11" s="19">
        <v>2015</v>
      </c>
      <c r="F11" s="19">
        <v>2024</v>
      </c>
      <c r="G11" s="19">
        <v>24</v>
      </c>
      <c r="H11" s="45">
        <v>25000</v>
      </c>
      <c r="I11" s="46">
        <f t="shared" si="11"/>
        <v>9</v>
      </c>
      <c r="J11" s="46">
        <f t="shared" si="12"/>
        <v>33.75</v>
      </c>
      <c r="K11" s="47">
        <f t="shared" si="13"/>
        <v>8437.5</v>
      </c>
      <c r="L11" s="48">
        <f t="shared" si="14"/>
        <v>16562.5</v>
      </c>
      <c r="M11" s="48">
        <f t="shared" si="15"/>
        <v>4908600</v>
      </c>
      <c r="N11" s="48">
        <f t="shared" si="16"/>
        <v>9635400</v>
      </c>
      <c r="O11" s="48">
        <f t="shared" si="17"/>
        <v>14544000</v>
      </c>
      <c r="Q11" s="78"/>
    </row>
    <row r="12" spans="1:17" s="5" customFormat="1" ht="27.6" x14ac:dyDescent="0.3">
      <c r="A12" s="44">
        <v>5</v>
      </c>
      <c r="B12" s="24" t="s">
        <v>58</v>
      </c>
      <c r="C12" s="24"/>
      <c r="D12" s="70">
        <v>753.2</v>
      </c>
      <c r="E12" s="19">
        <v>2015</v>
      </c>
      <c r="F12" s="19">
        <v>2024</v>
      </c>
      <c r="G12" s="19">
        <v>24</v>
      </c>
      <c r="H12" s="45">
        <v>25000</v>
      </c>
      <c r="I12" s="46">
        <f t="shared" si="11"/>
        <v>9</v>
      </c>
      <c r="J12" s="46">
        <f t="shared" si="12"/>
        <v>33.75</v>
      </c>
      <c r="K12" s="47">
        <f t="shared" si="13"/>
        <v>8437.5</v>
      </c>
      <c r="L12" s="48">
        <f t="shared" si="14"/>
        <v>16562.5</v>
      </c>
      <c r="M12" s="48">
        <f t="shared" si="15"/>
        <v>6355125</v>
      </c>
      <c r="N12" s="48">
        <f t="shared" si="16"/>
        <v>12474875</v>
      </c>
      <c r="O12" s="48">
        <f t="shared" si="17"/>
        <v>18830000</v>
      </c>
      <c r="Q12" s="78"/>
    </row>
    <row r="13" spans="1:17" s="5" customFormat="1" x14ac:dyDescent="0.3">
      <c r="A13" s="44">
        <v>6</v>
      </c>
      <c r="B13" s="24" t="s">
        <v>59</v>
      </c>
      <c r="C13" s="24" t="s">
        <v>65</v>
      </c>
      <c r="D13" s="70">
        <v>666.58</v>
      </c>
      <c r="E13" s="19">
        <v>2015</v>
      </c>
      <c r="F13" s="19">
        <v>2024</v>
      </c>
      <c r="G13" s="19">
        <v>24</v>
      </c>
      <c r="H13" s="45">
        <v>18000</v>
      </c>
      <c r="I13" s="46">
        <f t="shared" si="11"/>
        <v>9</v>
      </c>
      <c r="J13" s="46">
        <f t="shared" si="12"/>
        <v>33.75</v>
      </c>
      <c r="K13" s="47">
        <f t="shared" si="13"/>
        <v>6075</v>
      </c>
      <c r="L13" s="48">
        <f t="shared" si="14"/>
        <v>11925</v>
      </c>
      <c r="M13" s="48">
        <f t="shared" si="15"/>
        <v>4049473.4999999991</v>
      </c>
      <c r="N13" s="48">
        <f t="shared" si="16"/>
        <v>7948966.5000000009</v>
      </c>
      <c r="O13" s="48">
        <f t="shared" si="17"/>
        <v>11998440</v>
      </c>
    </row>
    <row r="14" spans="1:17" s="5" customFormat="1" ht="27.6" x14ac:dyDescent="0.3">
      <c r="A14" s="44">
        <v>7</v>
      </c>
      <c r="B14" s="24" t="s">
        <v>60</v>
      </c>
      <c r="C14" s="24" t="s">
        <v>65</v>
      </c>
      <c r="D14" s="70">
        <v>38.25</v>
      </c>
      <c r="E14" s="19">
        <v>2015</v>
      </c>
      <c r="F14" s="19">
        <v>2024</v>
      </c>
      <c r="G14" s="19">
        <v>24</v>
      </c>
      <c r="H14" s="45">
        <v>25000</v>
      </c>
      <c r="I14" s="46">
        <f t="shared" ref="I14:I16" si="18">F14-E14</f>
        <v>9</v>
      </c>
      <c r="J14" s="46">
        <f t="shared" ref="J14:J16" si="19">IF(I14&gt;=5,90*I14/G14,0)</f>
        <v>33.75</v>
      </c>
      <c r="K14" s="47">
        <f t="shared" ref="K14:K16" si="20">H14/100*J14</f>
        <v>8437.5</v>
      </c>
      <c r="L14" s="48">
        <f t="shared" ref="L14:L16" si="21">+H14-K14</f>
        <v>16562.5</v>
      </c>
      <c r="M14" s="48">
        <f t="shared" ref="M14:M16" si="22">O14-N14</f>
        <v>322734.375</v>
      </c>
      <c r="N14" s="48">
        <f t="shared" ref="N14:N16" si="23">+L14*D14</f>
        <v>633515.625</v>
      </c>
      <c r="O14" s="48">
        <f t="shared" ref="O14:O16" si="24">+D14*H14</f>
        <v>956250</v>
      </c>
    </row>
    <row r="15" spans="1:17" s="5" customFormat="1" x14ac:dyDescent="0.3">
      <c r="A15" s="44">
        <v>8</v>
      </c>
      <c r="B15" s="24" t="s">
        <v>61</v>
      </c>
      <c r="C15" s="24"/>
      <c r="D15" s="70">
        <v>148.9</v>
      </c>
      <c r="E15" s="19">
        <v>2015</v>
      </c>
      <c r="F15" s="19">
        <v>2024</v>
      </c>
      <c r="G15" s="19">
        <v>24</v>
      </c>
      <c r="H15" s="45">
        <v>15000</v>
      </c>
      <c r="I15" s="46">
        <f t="shared" si="18"/>
        <v>9</v>
      </c>
      <c r="J15" s="46">
        <f t="shared" si="19"/>
        <v>33.75</v>
      </c>
      <c r="K15" s="47">
        <f t="shared" si="20"/>
        <v>5062.5</v>
      </c>
      <c r="L15" s="48">
        <f t="shared" si="21"/>
        <v>9937.5</v>
      </c>
      <c r="M15" s="48">
        <f t="shared" si="22"/>
        <v>753806.25</v>
      </c>
      <c r="N15" s="48">
        <f t="shared" si="23"/>
        <v>1479693.75</v>
      </c>
      <c r="O15" s="48">
        <f t="shared" si="24"/>
        <v>2233500</v>
      </c>
    </row>
    <row r="16" spans="1:17" s="5" customFormat="1" x14ac:dyDescent="0.3">
      <c r="A16" s="44">
        <v>9</v>
      </c>
      <c r="B16" s="24" t="s">
        <v>62</v>
      </c>
      <c r="C16" s="24" t="s">
        <v>65</v>
      </c>
      <c r="D16" s="70">
        <v>80.5</v>
      </c>
      <c r="E16" s="19">
        <v>2015</v>
      </c>
      <c r="F16" s="19">
        <v>2024</v>
      </c>
      <c r="G16" s="19">
        <v>24</v>
      </c>
      <c r="H16" s="45">
        <v>20000</v>
      </c>
      <c r="I16" s="46">
        <f t="shared" si="18"/>
        <v>9</v>
      </c>
      <c r="J16" s="46">
        <f t="shared" si="19"/>
        <v>33.75</v>
      </c>
      <c r="K16" s="47">
        <f t="shared" si="20"/>
        <v>6750</v>
      </c>
      <c r="L16" s="48">
        <f t="shared" si="21"/>
        <v>13250</v>
      </c>
      <c r="M16" s="48">
        <f t="shared" si="22"/>
        <v>543375</v>
      </c>
      <c r="N16" s="48">
        <f t="shared" si="23"/>
        <v>1066625</v>
      </c>
      <c r="O16" s="48">
        <f t="shared" si="24"/>
        <v>1610000</v>
      </c>
    </row>
    <row r="17" spans="1:18" s="2" customFormat="1" x14ac:dyDescent="0.25">
      <c r="A17" s="22"/>
      <c r="B17" s="71" t="s">
        <v>32</v>
      </c>
      <c r="C17" s="71"/>
      <c r="D17" s="77">
        <f>SUM(D8:D16)</f>
        <v>3098.94</v>
      </c>
      <c r="E17" s="23"/>
      <c r="F17" s="23"/>
      <c r="G17" s="49"/>
      <c r="H17" s="50"/>
      <c r="I17" s="49"/>
      <c r="J17" s="23"/>
      <c r="K17" s="51"/>
      <c r="L17" s="52"/>
      <c r="M17" s="53">
        <f>SUM(M8:M16)</f>
        <v>21865676.625</v>
      </c>
      <c r="N17" s="53">
        <f>SUM(N8:N16)</f>
        <v>42921513.375</v>
      </c>
      <c r="O17" s="53">
        <f>SUM(O8:O16)</f>
        <v>64787190</v>
      </c>
    </row>
    <row r="18" spans="1:18" x14ac:dyDescent="0.25">
      <c r="B18" s="5"/>
      <c r="C18" s="5"/>
      <c r="D18" s="5"/>
      <c r="E18" s="5"/>
      <c r="F18" s="5"/>
      <c r="G18" s="5"/>
      <c r="H18" s="5"/>
      <c r="I18" s="5"/>
      <c r="J18" s="5"/>
      <c r="K18" s="54"/>
      <c r="L18" s="55"/>
      <c r="M18" s="55"/>
      <c r="N18" s="5"/>
      <c r="O18" s="56">
        <f>30*50000000</f>
        <v>1500000000</v>
      </c>
      <c r="P18" s="57"/>
      <c r="Q18" s="58"/>
      <c r="R18" s="58"/>
    </row>
    <row r="19" spans="1:18" x14ac:dyDescent="0.25">
      <c r="B19" s="96" t="s">
        <v>16</v>
      </c>
      <c r="C19" s="96"/>
      <c r="D19" s="96"/>
      <c r="E19" s="97"/>
      <c r="F19" s="97"/>
      <c r="G19" s="97"/>
      <c r="H19" s="97"/>
      <c r="I19" s="5"/>
      <c r="J19" s="5"/>
      <c r="K19" s="56"/>
      <c r="L19" s="55"/>
      <c r="M19" s="55"/>
      <c r="N19" s="5"/>
      <c r="O19" s="56">
        <f>+O18+O17</f>
        <v>1564787190</v>
      </c>
      <c r="P19" s="57"/>
      <c r="Q19" s="58"/>
      <c r="R19" s="58"/>
    </row>
    <row r="20" spans="1:18" x14ac:dyDescent="0.25">
      <c r="B20" s="3" t="s">
        <v>17</v>
      </c>
      <c r="C20" s="3"/>
      <c r="D20" s="59">
        <v>0</v>
      </c>
      <c r="E20" s="30"/>
      <c r="F20" s="30"/>
      <c r="G20" s="30"/>
      <c r="I20" s="5"/>
      <c r="J20" s="5"/>
      <c r="K20" s="54"/>
      <c r="L20" s="55"/>
      <c r="M20" s="55"/>
      <c r="N20" s="5"/>
      <c r="O20" s="56"/>
      <c r="P20" s="57"/>
      <c r="Q20" s="58"/>
      <c r="R20" s="58"/>
    </row>
    <row r="21" spans="1:18" x14ac:dyDescent="0.25">
      <c r="B21" s="3" t="s">
        <v>3</v>
      </c>
      <c r="C21" s="3"/>
      <c r="D21" s="60">
        <v>0</v>
      </c>
      <c r="E21" s="30"/>
      <c r="F21" s="30"/>
      <c r="G21" s="30"/>
      <c r="H21" s="6">
        <f>+G22-2015</f>
        <v>24</v>
      </c>
      <c r="I21" s="5"/>
      <c r="J21" s="5"/>
      <c r="K21" s="54"/>
      <c r="L21" s="55"/>
      <c r="M21" s="55"/>
      <c r="N21" s="5"/>
      <c r="O21" s="56"/>
      <c r="P21" s="57"/>
      <c r="Q21" s="58"/>
      <c r="R21" s="58"/>
    </row>
    <row r="22" spans="1:18" x14ac:dyDescent="0.25">
      <c r="B22" s="3" t="s">
        <v>18</v>
      </c>
      <c r="C22" s="3"/>
      <c r="D22" s="61">
        <f>ROUND((D20*D21),0)</f>
        <v>0</v>
      </c>
      <c r="E22" s="30"/>
      <c r="F22" s="30"/>
      <c r="G22" s="30">
        <v>2039</v>
      </c>
      <c r="I22" s="5"/>
      <c r="J22" s="5"/>
      <c r="K22" s="54"/>
      <c r="L22" s="55"/>
      <c r="M22" s="55"/>
      <c r="N22" s="5"/>
      <c r="O22" s="56"/>
      <c r="P22" s="57"/>
      <c r="Q22" s="58"/>
      <c r="R22" s="58"/>
    </row>
    <row r="23" spans="1:18" x14ac:dyDescent="0.25">
      <c r="B23" s="5"/>
      <c r="C23" s="5"/>
      <c r="D23" s="5"/>
      <c r="E23" s="5"/>
      <c r="F23" s="5"/>
      <c r="G23" s="5"/>
      <c r="H23" s="5"/>
      <c r="I23" s="5">
        <f>4.5*30</f>
        <v>135</v>
      </c>
      <c r="J23" s="5"/>
      <c r="K23" s="54"/>
      <c r="L23" s="55"/>
      <c r="M23" s="55"/>
      <c r="N23" s="5"/>
      <c r="O23" s="56"/>
      <c r="P23" s="57"/>
      <c r="Q23" s="58"/>
      <c r="R23" s="58"/>
    </row>
    <row r="24" spans="1:18" ht="22.5" customHeight="1" x14ac:dyDescent="0.25">
      <c r="B24" s="32" t="s">
        <v>19</v>
      </c>
      <c r="C24" s="32"/>
      <c r="D24" s="32"/>
      <c r="E24" s="31"/>
      <c r="F24" s="31"/>
      <c r="G24" s="31"/>
      <c r="H24" s="31"/>
      <c r="I24" s="5"/>
      <c r="J24" s="5"/>
      <c r="K24" s="54"/>
      <c r="L24" s="55"/>
      <c r="M24" s="55"/>
      <c r="N24" s="5"/>
      <c r="O24" s="54"/>
      <c r="P24" s="57"/>
      <c r="Q24" s="55"/>
      <c r="R24" s="55"/>
    </row>
    <row r="25" spans="1:18" x14ac:dyDescent="0.25">
      <c r="B25" s="3" t="s">
        <v>2</v>
      </c>
      <c r="C25" s="3"/>
      <c r="D25" s="59">
        <v>0</v>
      </c>
      <c r="E25" s="30"/>
      <c r="F25" s="30"/>
      <c r="G25" s="30"/>
      <c r="J25" s="18"/>
      <c r="K25" s="18"/>
      <c r="L25" s="62"/>
      <c r="M25" s="75"/>
      <c r="P25" s="63"/>
    </row>
    <row r="26" spans="1:18" x14ac:dyDescent="0.25">
      <c r="B26" s="3" t="s">
        <v>3</v>
      </c>
      <c r="C26" s="3"/>
      <c r="D26" s="60">
        <v>0</v>
      </c>
      <c r="E26" s="30"/>
      <c r="F26" s="30"/>
      <c r="G26" s="30"/>
      <c r="I26" s="56"/>
      <c r="J26" s="41"/>
      <c r="K26" s="41"/>
      <c r="L26" s="55"/>
      <c r="M26" s="75"/>
      <c r="P26" s="63"/>
    </row>
    <row r="27" spans="1:18" x14ac:dyDescent="0.25">
      <c r="B27" s="3" t="s">
        <v>18</v>
      </c>
      <c r="C27" s="3"/>
      <c r="D27" s="61">
        <f>ROUND((D25*D26),0)</f>
        <v>0</v>
      </c>
      <c r="E27" s="30"/>
      <c r="F27" s="30"/>
      <c r="G27" s="30"/>
      <c r="I27" s="7"/>
      <c r="J27" s="7"/>
      <c r="K27" s="64"/>
      <c r="M27" s="75"/>
      <c r="P27" s="63"/>
    </row>
    <row r="28" spans="1:18" x14ac:dyDescent="0.25">
      <c r="B28" s="30"/>
      <c r="C28" s="30"/>
      <c r="D28" s="30"/>
      <c r="E28" s="30"/>
      <c r="F28" s="30"/>
      <c r="G28" s="30"/>
      <c r="H28" s="38"/>
      <c r="I28" s="7"/>
      <c r="J28" s="7"/>
      <c r="K28" s="64"/>
      <c r="M28" s="75"/>
      <c r="P28" s="63"/>
    </row>
    <row r="29" spans="1:18" x14ac:dyDescent="0.25">
      <c r="B29" s="16"/>
      <c r="C29" s="16"/>
      <c r="D29" s="65" t="s">
        <v>20</v>
      </c>
      <c r="E29" s="7"/>
      <c r="F29" s="7"/>
      <c r="J29" s="7"/>
      <c r="K29" s="64"/>
      <c r="L29" s="79"/>
      <c r="M29" s="75"/>
      <c r="P29" s="63"/>
    </row>
    <row r="30" spans="1:18" x14ac:dyDescent="0.25">
      <c r="B30" s="16" t="s">
        <v>0</v>
      </c>
      <c r="C30" s="16"/>
      <c r="D30" s="66">
        <f>+D5</f>
        <v>107992500.00000001</v>
      </c>
      <c r="E30" s="38"/>
      <c r="F30" s="38"/>
      <c r="K30" s="80"/>
      <c r="L30" s="79"/>
      <c r="M30" s="63"/>
    </row>
    <row r="31" spans="1:18" x14ac:dyDescent="0.25">
      <c r="B31" s="16" t="s">
        <v>4</v>
      </c>
      <c r="C31" s="16"/>
      <c r="D31" s="66">
        <f>+N17</f>
        <v>42921513.375</v>
      </c>
      <c r="E31" s="38"/>
      <c r="F31" s="38"/>
      <c r="J31" s="38"/>
      <c r="K31" s="81"/>
      <c r="L31" s="79"/>
      <c r="M31" s="63"/>
      <c r="P31" s="63"/>
    </row>
    <row r="32" spans="1:18" x14ac:dyDescent="0.25">
      <c r="B32" s="16" t="s">
        <v>21</v>
      </c>
      <c r="C32" s="16"/>
      <c r="D32" s="66">
        <f>D22</f>
        <v>0</v>
      </c>
      <c r="E32" s="38"/>
      <c r="F32" s="38"/>
      <c r="J32" s="38"/>
      <c r="K32" s="79"/>
      <c r="L32" s="79"/>
      <c r="M32" s="63"/>
      <c r="P32" s="63"/>
    </row>
    <row r="33" spans="1:18" ht="41.4" x14ac:dyDescent="0.25">
      <c r="A33" s="6"/>
      <c r="B33" s="16" t="s">
        <v>28</v>
      </c>
      <c r="C33" s="16"/>
      <c r="D33" s="66">
        <v>0</v>
      </c>
      <c r="E33" s="38"/>
      <c r="F33" s="38"/>
      <c r="J33" s="38"/>
      <c r="K33" s="38"/>
      <c r="L33" s="79"/>
      <c r="M33" s="63"/>
      <c r="P33" s="63"/>
    </row>
    <row r="34" spans="1:18" x14ac:dyDescent="0.25">
      <c r="A34" s="6"/>
      <c r="B34" s="17" t="s">
        <v>22</v>
      </c>
      <c r="C34" s="17"/>
      <c r="D34" s="68">
        <f>+D30+D31</f>
        <v>150914013.375</v>
      </c>
      <c r="E34" s="67"/>
      <c r="F34" s="67"/>
      <c r="G34" s="2"/>
      <c r="K34" s="37"/>
    </row>
    <row r="35" spans="1:18" x14ac:dyDescent="0.25">
      <c r="A35" s="6"/>
      <c r="B35" s="17" t="s">
        <v>23</v>
      </c>
      <c r="C35" s="17"/>
      <c r="D35" s="68">
        <f>MROUND(D34*90%,1)</f>
        <v>135822612</v>
      </c>
      <c r="E35" s="67"/>
      <c r="F35" s="67"/>
      <c r="G35" s="2"/>
      <c r="K35" s="37"/>
    </row>
    <row r="36" spans="1:18" x14ac:dyDescent="0.25">
      <c r="A36" s="6"/>
      <c r="B36" s="17" t="s">
        <v>24</v>
      </c>
      <c r="C36" s="17"/>
      <c r="D36" s="68">
        <f>MROUND(D34*80%,1)</f>
        <v>120731211</v>
      </c>
      <c r="E36" s="67"/>
      <c r="F36" s="67"/>
      <c r="G36" s="2"/>
      <c r="K36" s="37"/>
    </row>
    <row r="37" spans="1:18" x14ac:dyDescent="0.25">
      <c r="A37" s="6"/>
      <c r="B37" s="17" t="s">
        <v>25</v>
      </c>
      <c r="C37" s="17"/>
      <c r="D37" s="68">
        <f>+O17</f>
        <v>64787190</v>
      </c>
      <c r="E37" s="67"/>
      <c r="F37" s="67"/>
      <c r="G37" s="2"/>
      <c r="P37" s="69"/>
      <c r="R37" s="26"/>
    </row>
    <row r="38" spans="1:18" x14ac:dyDescent="0.25">
      <c r="A38" s="6"/>
      <c r="B38" s="16" t="s">
        <v>27</v>
      </c>
      <c r="C38" s="16"/>
      <c r="D38" s="68">
        <f>+D31+N3</f>
        <v>5376722513.375001</v>
      </c>
      <c r="R38" s="26"/>
    </row>
    <row r="39" spans="1:18" x14ac:dyDescent="0.25">
      <c r="A39" s="6"/>
      <c r="R39" s="26"/>
    </row>
    <row r="40" spans="1:18" x14ac:dyDescent="0.25">
      <c r="A40" s="6"/>
      <c r="P40" s="28"/>
      <c r="R40" s="26"/>
    </row>
    <row r="41" spans="1:18" x14ac:dyDescent="0.25">
      <c r="A41" s="6"/>
      <c r="P41" s="28"/>
      <c r="R41" s="26"/>
    </row>
    <row r="42" spans="1:18" x14ac:dyDescent="0.25">
      <c r="A42" s="6"/>
    </row>
    <row r="43" spans="1:18" x14ac:dyDescent="0.25">
      <c r="A43" s="6"/>
    </row>
    <row r="44" spans="1:18" x14ac:dyDescent="0.25">
      <c r="A44" s="6"/>
    </row>
    <row r="45" spans="1:18" x14ac:dyDescent="0.25">
      <c r="A45" s="6"/>
      <c r="K45" s="8"/>
      <c r="N45" s="34"/>
      <c r="O45" s="34"/>
      <c r="P45" s="34"/>
    </row>
    <row r="46" spans="1:18" x14ac:dyDescent="0.25">
      <c r="A46" s="6"/>
      <c r="K46" s="8"/>
    </row>
    <row r="47" spans="1:18" x14ac:dyDescent="0.25">
      <c r="A47" s="6"/>
      <c r="K47" s="8"/>
    </row>
    <row r="48" spans="1:18" x14ac:dyDescent="0.25">
      <c r="A48" s="6"/>
      <c r="K48" s="8"/>
    </row>
    <row r="49" spans="1:11" x14ac:dyDescent="0.25">
      <c r="A49" s="6"/>
      <c r="K49" s="8"/>
    </row>
    <row r="50" spans="1:11" x14ac:dyDescent="0.25">
      <c r="A50" s="6"/>
      <c r="K50" s="8"/>
    </row>
    <row r="51" spans="1:11" x14ac:dyDescent="0.25">
      <c r="A51" s="6"/>
      <c r="K51" s="8"/>
    </row>
    <row r="52" spans="1:11" x14ac:dyDescent="0.25">
      <c r="A52" s="6"/>
      <c r="K52" s="8"/>
    </row>
    <row r="53" spans="1:11" x14ac:dyDescent="0.25">
      <c r="A53" s="6"/>
      <c r="K53" s="8"/>
    </row>
    <row r="54" spans="1:11" x14ac:dyDescent="0.25">
      <c r="A54" s="6"/>
      <c r="K54" s="8"/>
    </row>
    <row r="55" spans="1:11" x14ac:dyDescent="0.25">
      <c r="A55" s="6"/>
    </row>
    <row r="56" spans="1:11" x14ac:dyDescent="0.25">
      <c r="A56" s="6"/>
    </row>
    <row r="57" spans="1:11" x14ac:dyDescent="0.25">
      <c r="A57" s="6"/>
    </row>
    <row r="58" spans="1:11" x14ac:dyDescent="0.25">
      <c r="A58" s="6"/>
    </row>
    <row r="59" spans="1:11" x14ac:dyDescent="0.25">
      <c r="A59" s="6"/>
    </row>
    <row r="60" spans="1:11" x14ac:dyDescent="0.25">
      <c r="A60" s="6"/>
    </row>
    <row r="61" spans="1:11" x14ac:dyDescent="0.25">
      <c r="A61" s="6"/>
    </row>
    <row r="62" spans="1:11" x14ac:dyDescent="0.25">
      <c r="A62" s="6"/>
    </row>
    <row r="63" spans="1:11" x14ac:dyDescent="0.25">
      <c r="A63" s="6"/>
    </row>
    <row r="64" spans="1:11" x14ac:dyDescent="0.25">
      <c r="A64" s="6"/>
    </row>
    <row r="65" spans="1:1" x14ac:dyDescent="0.25">
      <c r="A65" s="6"/>
    </row>
    <row r="66" spans="1:1" x14ac:dyDescent="0.25">
      <c r="A66" s="6"/>
    </row>
    <row r="67" spans="1:1" x14ac:dyDescent="0.25">
      <c r="A67" s="6"/>
    </row>
    <row r="68" spans="1:1" x14ac:dyDescent="0.25">
      <c r="A68" s="6"/>
    </row>
    <row r="69" spans="1:1" x14ac:dyDescent="0.25">
      <c r="A69" s="6"/>
    </row>
    <row r="70" spans="1:1" x14ac:dyDescent="0.25">
      <c r="A70" s="6"/>
    </row>
    <row r="71" spans="1:1" x14ac:dyDescent="0.25">
      <c r="A71" s="6"/>
    </row>
    <row r="72" spans="1:1" x14ac:dyDescent="0.25">
      <c r="A72" s="6"/>
    </row>
    <row r="73" spans="1:1" x14ac:dyDescent="0.25">
      <c r="A73" s="6"/>
    </row>
    <row r="74" spans="1:1" x14ac:dyDescent="0.25">
      <c r="A74" s="6"/>
    </row>
    <row r="75" spans="1:1" x14ac:dyDescent="0.25">
      <c r="A75" s="6"/>
    </row>
    <row r="76" spans="1:1" x14ac:dyDescent="0.25">
      <c r="A76" s="6"/>
    </row>
    <row r="77" spans="1:1" x14ac:dyDescent="0.25">
      <c r="A77" s="6"/>
    </row>
    <row r="78" spans="1:1" x14ac:dyDescent="0.25">
      <c r="A78" s="6"/>
    </row>
    <row r="79" spans="1:1" x14ac:dyDescent="0.25">
      <c r="A79" s="6"/>
    </row>
    <row r="80" spans="1:1" x14ac:dyDescent="0.25">
      <c r="A80" s="6"/>
    </row>
    <row r="81" spans="1:1" x14ac:dyDescent="0.25">
      <c r="A81" s="6"/>
    </row>
    <row r="82" spans="1:1" x14ac:dyDescent="0.25">
      <c r="A82" s="6"/>
    </row>
    <row r="83" spans="1:1" x14ac:dyDescent="0.25">
      <c r="A83" s="6"/>
    </row>
    <row r="84" spans="1:1" x14ac:dyDescent="0.25">
      <c r="A84" s="6"/>
    </row>
    <row r="85" spans="1:1" x14ac:dyDescent="0.25">
      <c r="A85" s="6"/>
    </row>
    <row r="86" spans="1:1" x14ac:dyDescent="0.25">
      <c r="A86" s="6"/>
    </row>
    <row r="87" spans="1:1" x14ac:dyDescent="0.25">
      <c r="A87" s="6"/>
    </row>
    <row r="88" spans="1:1" x14ac:dyDescent="0.25">
      <c r="A88" s="6"/>
    </row>
    <row r="89" spans="1:1" x14ac:dyDescent="0.25">
      <c r="A89" s="6"/>
    </row>
    <row r="90" spans="1:1" x14ac:dyDescent="0.25">
      <c r="A90" s="6"/>
    </row>
    <row r="91" spans="1:1" x14ac:dyDescent="0.25">
      <c r="A91" s="6"/>
    </row>
    <row r="92" spans="1:1" x14ac:dyDescent="0.25">
      <c r="A92" s="6"/>
    </row>
    <row r="93" spans="1:1" x14ac:dyDescent="0.25">
      <c r="A93" s="6"/>
    </row>
    <row r="94" spans="1:1" x14ac:dyDescent="0.25">
      <c r="A94" s="6"/>
    </row>
    <row r="95" spans="1:1" x14ac:dyDescent="0.25">
      <c r="A95" s="6"/>
    </row>
    <row r="96" spans="1:1" x14ac:dyDescent="0.25">
      <c r="A96" s="6"/>
    </row>
    <row r="97" spans="1:1" x14ac:dyDescent="0.25">
      <c r="A97" s="6"/>
    </row>
    <row r="98" spans="1:1" x14ac:dyDescent="0.25">
      <c r="A98" s="6"/>
    </row>
    <row r="99" spans="1:1" x14ac:dyDescent="0.25">
      <c r="A99" s="6"/>
    </row>
    <row r="100" spans="1:1" x14ac:dyDescent="0.25">
      <c r="A100" s="6"/>
    </row>
    <row r="101" spans="1:1" x14ac:dyDescent="0.25">
      <c r="A101" s="6"/>
    </row>
    <row r="102" spans="1:1" x14ac:dyDescent="0.25">
      <c r="A102" s="6"/>
    </row>
    <row r="103" spans="1:1" x14ac:dyDescent="0.25">
      <c r="A103" s="6"/>
    </row>
    <row r="104" spans="1:1" x14ac:dyDescent="0.25">
      <c r="A104" s="6"/>
    </row>
    <row r="105" spans="1:1" x14ac:dyDescent="0.25">
      <c r="A105" s="6"/>
    </row>
    <row r="106" spans="1:1" x14ac:dyDescent="0.25">
      <c r="A106" s="6"/>
    </row>
    <row r="107" spans="1:1" x14ac:dyDescent="0.25">
      <c r="A107" s="6"/>
    </row>
    <row r="108" spans="1:1" x14ac:dyDescent="0.25">
      <c r="A108" s="6"/>
    </row>
    <row r="109" spans="1:1" x14ac:dyDescent="0.25">
      <c r="A109" s="6"/>
    </row>
    <row r="110" spans="1:1" x14ac:dyDescent="0.25">
      <c r="A110" s="6"/>
    </row>
    <row r="111" spans="1:1" x14ac:dyDescent="0.25">
      <c r="A111" s="6"/>
    </row>
    <row r="112" spans="1:1" x14ac:dyDescent="0.25">
      <c r="A112" s="6"/>
    </row>
    <row r="113" spans="1:1" x14ac:dyDescent="0.25">
      <c r="A113" s="6"/>
    </row>
    <row r="114" spans="1:1" x14ac:dyDescent="0.25">
      <c r="A114" s="6"/>
    </row>
    <row r="115" spans="1:1" x14ac:dyDescent="0.25">
      <c r="A115" s="6"/>
    </row>
    <row r="116" spans="1:1" x14ac:dyDescent="0.25">
      <c r="A116" s="6"/>
    </row>
    <row r="117" spans="1:1" x14ac:dyDescent="0.25">
      <c r="A117" s="6"/>
    </row>
    <row r="118" spans="1:1" x14ac:dyDescent="0.25">
      <c r="A118" s="6"/>
    </row>
    <row r="119" spans="1:1" x14ac:dyDescent="0.25">
      <c r="A119" s="6"/>
    </row>
    <row r="120" spans="1:1" x14ac:dyDescent="0.25">
      <c r="A120" s="6"/>
    </row>
    <row r="121" spans="1:1" x14ac:dyDescent="0.25">
      <c r="A121" s="6"/>
    </row>
    <row r="122" spans="1:1" x14ac:dyDescent="0.25">
      <c r="A122" s="6"/>
    </row>
    <row r="123" spans="1:1" x14ac:dyDescent="0.25">
      <c r="A123" s="6"/>
    </row>
    <row r="124" spans="1:1" x14ac:dyDescent="0.25">
      <c r="A124" s="6"/>
    </row>
    <row r="125" spans="1:1" x14ac:dyDescent="0.25">
      <c r="A125" s="6"/>
    </row>
    <row r="126" spans="1:1" x14ac:dyDescent="0.25">
      <c r="A126" s="6"/>
    </row>
    <row r="127" spans="1:1" x14ac:dyDescent="0.25">
      <c r="A127" s="6"/>
    </row>
    <row r="128" spans="1:1" x14ac:dyDescent="0.25">
      <c r="A128" s="6"/>
    </row>
    <row r="129" spans="1:1" x14ac:dyDescent="0.25">
      <c r="A129" s="6"/>
    </row>
    <row r="130" spans="1:1" x14ac:dyDescent="0.25">
      <c r="A130" s="6"/>
    </row>
    <row r="131" spans="1:1" x14ac:dyDescent="0.25">
      <c r="A131" s="6"/>
    </row>
    <row r="132" spans="1:1" x14ac:dyDescent="0.25">
      <c r="A132" s="6"/>
    </row>
    <row r="133" spans="1:1" x14ac:dyDescent="0.25">
      <c r="A133" s="6"/>
    </row>
    <row r="134" spans="1:1" x14ac:dyDescent="0.25">
      <c r="A134" s="6"/>
    </row>
    <row r="135" spans="1:1" x14ac:dyDescent="0.25">
      <c r="A135" s="6"/>
    </row>
    <row r="136" spans="1:1" x14ac:dyDescent="0.25">
      <c r="A136" s="6"/>
    </row>
    <row r="137" spans="1:1" x14ac:dyDescent="0.25">
      <c r="A137" s="6"/>
    </row>
    <row r="138" spans="1:1" x14ac:dyDescent="0.25">
      <c r="A138" s="6"/>
    </row>
    <row r="139" spans="1:1" x14ac:dyDescent="0.25">
      <c r="A139" s="6"/>
    </row>
    <row r="140" spans="1:1" x14ac:dyDescent="0.25">
      <c r="A140" s="6"/>
    </row>
    <row r="141" spans="1:1" x14ac:dyDescent="0.25">
      <c r="A141" s="6"/>
    </row>
    <row r="142" spans="1:1" x14ac:dyDescent="0.25">
      <c r="A142" s="6"/>
    </row>
    <row r="143" spans="1:1" x14ac:dyDescent="0.25">
      <c r="A143" s="6"/>
    </row>
    <row r="144" spans="1:1" x14ac:dyDescent="0.25">
      <c r="A144" s="6"/>
    </row>
    <row r="145" spans="1:1" x14ac:dyDescent="0.25">
      <c r="A145" s="6"/>
    </row>
  </sheetData>
  <autoFilter ref="A7:O17" xr:uid="{00000000-0001-0000-0200-000000000000}"/>
  <mergeCells count="2">
    <mergeCell ref="B19:H19"/>
    <mergeCell ref="F3:I3"/>
  </mergeCells>
  <printOptions horizontalCentered="1"/>
  <pageMargins left="0.11811023622047245" right="0.11811023622047245" top="0.74803149606299213" bottom="0.74803149606299213" header="0.31496062992125984" footer="0.31496062992125984"/>
  <pageSetup scale="85" orientation="landscape" r:id="rId1"/>
  <headerFooter>
    <oddFooter>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B1383-DDE3-4DDC-875C-4677B858CE79}">
  <dimension ref="B4:G34"/>
  <sheetViews>
    <sheetView topLeftCell="A6" workbookViewId="0">
      <selection activeCell="D35" sqref="D35"/>
    </sheetView>
  </sheetViews>
  <sheetFormatPr defaultRowHeight="14.4" x14ac:dyDescent="0.3"/>
  <cols>
    <col min="3" max="3" width="28.5546875" customWidth="1"/>
    <col min="4" max="4" width="21.6640625" style="93" customWidth="1"/>
    <col min="6" max="6" width="12.5546875" bestFit="1" customWidth="1"/>
  </cols>
  <sheetData>
    <row r="4" spans="2:7" x14ac:dyDescent="0.3">
      <c r="B4" t="s">
        <v>101</v>
      </c>
      <c r="C4" t="s">
        <v>98</v>
      </c>
      <c r="D4" s="93">
        <v>205700</v>
      </c>
      <c r="G4">
        <f>+D4/4046.87</f>
        <v>50.829406430154663</v>
      </c>
    </row>
    <row r="5" spans="2:7" x14ac:dyDescent="0.3">
      <c r="B5" t="s">
        <v>102</v>
      </c>
      <c r="C5" t="s">
        <v>99</v>
      </c>
      <c r="D5" s="93">
        <v>500</v>
      </c>
      <c r="G5">
        <f>+G4*10000</f>
        <v>508294.0643015466</v>
      </c>
    </row>
    <row r="6" spans="2:7" x14ac:dyDescent="0.3">
      <c r="B6" t="s">
        <v>103</v>
      </c>
      <c r="C6" t="s">
        <v>100</v>
      </c>
      <c r="D6" s="93">
        <f>+D4*D5</f>
        <v>102850000</v>
      </c>
    </row>
    <row r="8" spans="2:7" ht="72" x14ac:dyDescent="0.3">
      <c r="C8" t="s">
        <v>104</v>
      </c>
      <c r="D8" s="94" t="s">
        <v>63</v>
      </c>
    </row>
    <row r="9" spans="2:7" x14ac:dyDescent="0.3">
      <c r="C9" t="s">
        <v>105</v>
      </c>
      <c r="D9" s="94" t="s">
        <v>107</v>
      </c>
      <c r="E9" t="s">
        <v>106</v>
      </c>
    </row>
    <row r="10" spans="2:7" x14ac:dyDescent="0.3">
      <c r="E10" t="e">
        <f>+E9+28.5</f>
        <v>#VALUE!</v>
      </c>
    </row>
    <row r="14" spans="2:7" x14ac:dyDescent="0.3">
      <c r="D14" s="93" t="s">
        <v>109</v>
      </c>
      <c r="E14" t="s">
        <v>110</v>
      </c>
      <c r="F14" t="s">
        <v>18</v>
      </c>
    </row>
    <row r="15" spans="2:7" x14ac:dyDescent="0.3">
      <c r="C15" t="s">
        <v>108</v>
      </c>
      <c r="D15" s="93">
        <v>508100</v>
      </c>
      <c r="E15">
        <v>9.1079000000000008</v>
      </c>
      <c r="F15" s="14">
        <f>+D15*E15</f>
        <v>4627723.99</v>
      </c>
    </row>
    <row r="17" spans="3:6" x14ac:dyDescent="0.3">
      <c r="C17" t="s">
        <v>111</v>
      </c>
      <c r="F17">
        <f>+Valuation!N17</f>
        <v>42921513.375</v>
      </c>
    </row>
    <row r="20" spans="3:6" x14ac:dyDescent="0.3">
      <c r="C20" t="s">
        <v>112</v>
      </c>
    </row>
    <row r="21" spans="3:6" x14ac:dyDescent="0.3">
      <c r="C21" t="s">
        <v>34</v>
      </c>
      <c r="D21" s="93">
        <f>+D6</f>
        <v>102850000</v>
      </c>
    </row>
    <row r="22" spans="3:6" x14ac:dyDescent="0.3">
      <c r="C22" t="s">
        <v>96</v>
      </c>
      <c r="D22" s="93">
        <f>+F17</f>
        <v>42921513.375</v>
      </c>
    </row>
    <row r="23" spans="3:6" x14ac:dyDescent="0.3">
      <c r="D23" s="93">
        <f>SUM(D21:D22)</f>
        <v>145771513.375</v>
      </c>
    </row>
    <row r="25" spans="3:6" x14ac:dyDescent="0.3">
      <c r="C25" t="s">
        <v>113</v>
      </c>
    </row>
    <row r="26" spans="3:6" x14ac:dyDescent="0.3">
      <c r="D26" s="93">
        <f>+D21</f>
        <v>102850000</v>
      </c>
    </row>
    <row r="27" spans="3:6" x14ac:dyDescent="0.3">
      <c r="D27" s="93">
        <v>0.3624</v>
      </c>
    </row>
    <row r="28" spans="3:6" x14ac:dyDescent="0.3">
      <c r="D28" s="95">
        <f>+D26*D27</f>
        <v>37272840</v>
      </c>
    </row>
    <row r="30" spans="3:6" x14ac:dyDescent="0.3">
      <c r="C30" t="s">
        <v>114</v>
      </c>
      <c r="D30" s="93">
        <f>+F15</f>
        <v>4627723.99</v>
      </c>
    </row>
    <row r="31" spans="3:6" x14ac:dyDescent="0.3">
      <c r="D31" s="93">
        <f>+D28</f>
        <v>37272840</v>
      </c>
    </row>
    <row r="32" spans="3:6" x14ac:dyDescent="0.3">
      <c r="D32" s="93">
        <f>+D31+D30</f>
        <v>41900563.990000002</v>
      </c>
    </row>
    <row r="34" spans="4:4" x14ac:dyDescent="0.3">
      <c r="D34" s="93">
        <f>+D26-D32</f>
        <v>60949436.009999998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A35E52-1965-4AB5-BF5B-55D76DE11D25}">
  <dimension ref="A1:G13"/>
  <sheetViews>
    <sheetView workbookViewId="0">
      <selection activeCell="E1" sqref="E1:G1"/>
    </sheetView>
  </sheetViews>
  <sheetFormatPr defaultColWidth="9.109375" defaultRowHeight="13.8" x14ac:dyDescent="0.25"/>
  <cols>
    <col min="1" max="1" width="9.109375" style="83"/>
    <col min="2" max="2" width="15.109375" style="36" customWidth="1"/>
    <col min="3" max="3" width="17.5546875" style="36" customWidth="1"/>
    <col min="4" max="4" width="15.109375" style="83" customWidth="1"/>
    <col min="5" max="5" width="13.88671875" style="84" customWidth="1"/>
    <col min="6" max="7" width="12.5546875" style="84" customWidth="1"/>
    <col min="8" max="16384" width="9.109375" style="82"/>
  </cols>
  <sheetData>
    <row r="1" spans="1:7" ht="21.75" customHeight="1" x14ac:dyDescent="0.25">
      <c r="A1" s="22" t="s">
        <v>35</v>
      </c>
      <c r="B1" s="23" t="s">
        <v>36</v>
      </c>
      <c r="C1" s="23" t="s">
        <v>37</v>
      </c>
      <c r="D1" s="22" t="s">
        <v>38</v>
      </c>
      <c r="E1" s="86" t="s">
        <v>51</v>
      </c>
      <c r="F1" s="86" t="s">
        <v>52</v>
      </c>
      <c r="G1" s="86" t="s">
        <v>53</v>
      </c>
    </row>
    <row r="2" spans="1:7" ht="21.75" customHeight="1" x14ac:dyDescent="0.25">
      <c r="A2" s="44">
        <v>1</v>
      </c>
      <c r="B2" s="24" t="s">
        <v>39</v>
      </c>
      <c r="C2" s="24" t="s">
        <v>41</v>
      </c>
      <c r="D2" s="44">
        <v>5.18</v>
      </c>
      <c r="E2" s="85"/>
      <c r="F2" s="85"/>
      <c r="G2" s="85"/>
    </row>
    <row r="3" spans="1:7" ht="21.75" customHeight="1" x14ac:dyDescent="0.25">
      <c r="A3" s="44">
        <v>2</v>
      </c>
      <c r="B3" s="24" t="s">
        <v>39</v>
      </c>
      <c r="C3" s="24" t="s">
        <v>42</v>
      </c>
      <c r="D3" s="44">
        <v>3.24</v>
      </c>
      <c r="E3" s="85"/>
      <c r="F3" s="85"/>
      <c r="G3" s="85"/>
    </row>
    <row r="4" spans="1:7" ht="21.75" customHeight="1" x14ac:dyDescent="0.25">
      <c r="A4" s="44">
        <v>3</v>
      </c>
      <c r="B4" s="24" t="s">
        <v>39</v>
      </c>
      <c r="C4" s="24" t="s">
        <v>43</v>
      </c>
      <c r="D4" s="44">
        <v>0.89</v>
      </c>
      <c r="E4" s="85"/>
      <c r="F4" s="85"/>
      <c r="G4" s="85"/>
    </row>
    <row r="5" spans="1:7" ht="21.75" customHeight="1" x14ac:dyDescent="0.25">
      <c r="A5" s="44">
        <v>4</v>
      </c>
      <c r="B5" s="24" t="s">
        <v>39</v>
      </c>
      <c r="C5" s="24" t="s">
        <v>44</v>
      </c>
      <c r="D5" s="44">
        <v>1.21</v>
      </c>
      <c r="E5" s="85"/>
      <c r="F5" s="85"/>
      <c r="G5" s="85"/>
    </row>
    <row r="6" spans="1:7" ht="21.75" customHeight="1" x14ac:dyDescent="0.25">
      <c r="A6" s="44">
        <v>5</v>
      </c>
      <c r="B6" s="24" t="s">
        <v>39</v>
      </c>
      <c r="C6" s="24" t="s">
        <v>45</v>
      </c>
      <c r="D6" s="44">
        <v>2.02</v>
      </c>
      <c r="E6" s="85"/>
      <c r="F6" s="85"/>
      <c r="G6" s="85"/>
    </row>
    <row r="7" spans="1:7" ht="21.75" customHeight="1" x14ac:dyDescent="0.25">
      <c r="A7" s="44">
        <v>6</v>
      </c>
      <c r="B7" s="24" t="s">
        <v>39</v>
      </c>
      <c r="C7" s="24" t="s">
        <v>46</v>
      </c>
      <c r="D7" s="44">
        <v>1.21</v>
      </c>
      <c r="E7" s="85"/>
      <c r="F7" s="85"/>
      <c r="G7" s="85"/>
    </row>
    <row r="8" spans="1:7" ht="21.75" customHeight="1" x14ac:dyDescent="0.25">
      <c r="A8" s="44">
        <v>7</v>
      </c>
      <c r="B8" s="24" t="s">
        <v>40</v>
      </c>
      <c r="C8" s="24" t="s">
        <v>47</v>
      </c>
      <c r="D8" s="44">
        <v>1.97</v>
      </c>
      <c r="E8" s="85"/>
      <c r="F8" s="85"/>
      <c r="G8" s="85"/>
    </row>
    <row r="9" spans="1:7" ht="21.75" customHeight="1" x14ac:dyDescent="0.25">
      <c r="A9" s="44">
        <v>8</v>
      </c>
      <c r="B9" s="24" t="s">
        <v>40</v>
      </c>
      <c r="C9" s="24" t="s">
        <v>48</v>
      </c>
      <c r="D9" s="44">
        <v>0.86</v>
      </c>
      <c r="E9" s="85"/>
      <c r="F9" s="85"/>
      <c r="G9" s="85"/>
    </row>
    <row r="10" spans="1:7" ht="21.75" customHeight="1" x14ac:dyDescent="0.25">
      <c r="A10" s="44">
        <v>9</v>
      </c>
      <c r="B10" s="24" t="s">
        <v>40</v>
      </c>
      <c r="C10" s="24" t="s">
        <v>49</v>
      </c>
      <c r="D10" s="44">
        <v>1.26</v>
      </c>
      <c r="E10" s="85"/>
      <c r="F10" s="85"/>
      <c r="G10" s="85"/>
    </row>
    <row r="11" spans="1:7" ht="21.75" customHeight="1" x14ac:dyDescent="0.25">
      <c r="A11" s="44">
        <v>10</v>
      </c>
      <c r="B11" s="24" t="s">
        <v>40</v>
      </c>
      <c r="C11" s="24" t="s">
        <v>50</v>
      </c>
      <c r="D11" s="44">
        <v>2.73</v>
      </c>
      <c r="E11" s="85"/>
      <c r="F11" s="85"/>
      <c r="G11" s="85"/>
    </row>
    <row r="12" spans="1:7" ht="21.75" customHeight="1" x14ac:dyDescent="0.25">
      <c r="A12" s="44"/>
      <c r="B12" s="24"/>
      <c r="C12" s="71" t="s">
        <v>32</v>
      </c>
      <c r="D12" s="22">
        <f>SUM(D2:D11)</f>
        <v>20.570000000000004</v>
      </c>
      <c r="E12" s="85"/>
      <c r="F12" s="85"/>
      <c r="G12" s="85"/>
    </row>
    <row r="13" spans="1:7" ht="21.75" customHeight="1" x14ac:dyDescent="0.25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G94"/>
  <sheetViews>
    <sheetView topLeftCell="A55" workbookViewId="0">
      <selection activeCell="C55" sqref="C55"/>
    </sheetView>
  </sheetViews>
  <sheetFormatPr defaultRowHeight="14.4" x14ac:dyDescent="0.3"/>
  <cols>
    <col min="7" max="7" width="16" bestFit="1" customWidth="1"/>
  </cols>
  <sheetData>
    <row r="94" spans="7:7" x14ac:dyDescent="0.3">
      <c r="G94" s="1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F6D7E-0DD0-4327-BEB7-5471992617B8}">
  <dimension ref="A1:G34"/>
  <sheetViews>
    <sheetView topLeftCell="C6" workbookViewId="0">
      <selection activeCell="G22" sqref="G22"/>
    </sheetView>
  </sheetViews>
  <sheetFormatPr defaultRowHeight="14.4" x14ac:dyDescent="0.3"/>
  <cols>
    <col min="1" max="1" width="4.5546875" customWidth="1"/>
    <col min="2" max="2" width="53" customWidth="1"/>
    <col min="3" max="3" width="10.44140625"/>
    <col min="4" max="4" width="5.44140625" customWidth="1"/>
    <col min="5" max="5" width="9.33203125" customWidth="1"/>
    <col min="6" max="7" width="14" bestFit="1" customWidth="1"/>
  </cols>
  <sheetData>
    <row r="1" spans="1:7" ht="27.6" x14ac:dyDescent="0.3">
      <c r="A1" s="22" t="s">
        <v>35</v>
      </c>
      <c r="B1" s="87" t="s">
        <v>66</v>
      </c>
      <c r="C1" s="22" t="s">
        <v>89</v>
      </c>
      <c r="D1" s="22" t="s">
        <v>67</v>
      </c>
      <c r="E1" s="22" t="s">
        <v>68</v>
      </c>
      <c r="F1" s="88" t="s">
        <v>90</v>
      </c>
      <c r="G1" s="88" t="s">
        <v>69</v>
      </c>
    </row>
    <row r="2" spans="1:7" x14ac:dyDescent="0.3">
      <c r="A2" s="44">
        <v>1</v>
      </c>
      <c r="B2" s="89" t="s">
        <v>70</v>
      </c>
      <c r="C2" s="44">
        <v>2015</v>
      </c>
      <c r="D2" s="44">
        <f>2024-C2</f>
        <v>9</v>
      </c>
      <c r="E2" s="44">
        <f>24-D2</f>
        <v>15</v>
      </c>
      <c r="F2" s="90">
        <v>511513000</v>
      </c>
      <c r="G2" s="90">
        <f>0.95*(F2-F2*0.9*D2/(D2+E2))</f>
        <v>321933494.375</v>
      </c>
    </row>
    <row r="3" spans="1:7" x14ac:dyDescent="0.3">
      <c r="A3" s="44">
        <v>2</v>
      </c>
      <c r="B3" s="89" t="s">
        <v>71</v>
      </c>
      <c r="C3" s="44">
        <v>2015</v>
      </c>
      <c r="D3" s="44">
        <f t="shared" ref="D3:D21" si="0">2024-C3</f>
        <v>9</v>
      </c>
      <c r="E3" s="44">
        <f t="shared" ref="E3:E21" si="1">24-D3</f>
        <v>15</v>
      </c>
      <c r="F3" s="90">
        <v>26591000</v>
      </c>
      <c r="G3" s="90">
        <f t="shared" ref="G3:G21" si="2">0.95*(F3-F3*0.9*D3/(D3+E3))</f>
        <v>16735710.625</v>
      </c>
    </row>
    <row r="4" spans="1:7" x14ac:dyDescent="0.3">
      <c r="A4" s="44">
        <v>3</v>
      </c>
      <c r="B4" s="89" t="s">
        <v>72</v>
      </c>
      <c r="C4" s="44">
        <v>2015</v>
      </c>
      <c r="D4" s="44">
        <f t="shared" si="0"/>
        <v>9</v>
      </c>
      <c r="E4" s="44">
        <f t="shared" si="1"/>
        <v>15</v>
      </c>
      <c r="F4" s="90">
        <v>201322000</v>
      </c>
      <c r="G4" s="90">
        <f t="shared" si="2"/>
        <v>126707033.75</v>
      </c>
    </row>
    <row r="5" spans="1:7" x14ac:dyDescent="0.3">
      <c r="A5" s="44">
        <v>4</v>
      </c>
      <c r="B5" s="89" t="s">
        <v>73</v>
      </c>
      <c r="C5" s="44">
        <v>2015</v>
      </c>
      <c r="D5" s="44">
        <f t="shared" si="0"/>
        <v>9</v>
      </c>
      <c r="E5" s="44">
        <f t="shared" si="1"/>
        <v>15</v>
      </c>
      <c r="F5" s="90">
        <v>131609000</v>
      </c>
      <c r="G5" s="90">
        <f t="shared" si="2"/>
        <v>82831414.375</v>
      </c>
    </row>
    <row r="6" spans="1:7" x14ac:dyDescent="0.3">
      <c r="A6" s="44">
        <v>5</v>
      </c>
      <c r="B6" s="89" t="s">
        <v>74</v>
      </c>
      <c r="C6" s="44">
        <v>2015</v>
      </c>
      <c r="D6" s="44">
        <f t="shared" si="0"/>
        <v>9</v>
      </c>
      <c r="E6" s="44">
        <f t="shared" si="1"/>
        <v>15</v>
      </c>
      <c r="F6" s="90">
        <v>10730000</v>
      </c>
      <c r="G6" s="90">
        <f t="shared" si="2"/>
        <v>6753193.75</v>
      </c>
    </row>
    <row r="7" spans="1:7" x14ac:dyDescent="0.3">
      <c r="A7" s="44">
        <v>6</v>
      </c>
      <c r="B7" s="89" t="s">
        <v>75</v>
      </c>
      <c r="C7" s="44">
        <v>2015</v>
      </c>
      <c r="D7" s="44">
        <f t="shared" si="0"/>
        <v>9</v>
      </c>
      <c r="E7" s="44">
        <f t="shared" si="1"/>
        <v>15</v>
      </c>
      <c r="F7" s="90">
        <v>34869000</v>
      </c>
      <c r="G7" s="90">
        <f t="shared" si="2"/>
        <v>21945676.875</v>
      </c>
    </row>
    <row r="8" spans="1:7" x14ac:dyDescent="0.3">
      <c r="A8" s="44">
        <v>7</v>
      </c>
      <c r="B8" s="89" t="s">
        <v>76</v>
      </c>
      <c r="C8" s="44">
        <v>2015</v>
      </c>
      <c r="D8" s="44">
        <f t="shared" si="0"/>
        <v>9</v>
      </c>
      <c r="E8" s="44">
        <f t="shared" si="1"/>
        <v>15</v>
      </c>
      <c r="F8" s="90">
        <v>123487000</v>
      </c>
      <c r="G8" s="90">
        <f t="shared" si="2"/>
        <v>77719630.625</v>
      </c>
    </row>
    <row r="9" spans="1:7" x14ac:dyDescent="0.3">
      <c r="A9" s="44">
        <v>8</v>
      </c>
      <c r="B9" s="89" t="s">
        <v>77</v>
      </c>
      <c r="C9" s="44">
        <v>2015</v>
      </c>
      <c r="D9" s="44">
        <f t="shared" si="0"/>
        <v>9</v>
      </c>
      <c r="E9" s="44">
        <f t="shared" si="1"/>
        <v>15</v>
      </c>
      <c r="F9" s="90">
        <v>42500000</v>
      </c>
      <c r="G9" s="90">
        <f t="shared" si="2"/>
        <v>26748437.5</v>
      </c>
    </row>
    <row r="10" spans="1:7" ht="27.6" x14ac:dyDescent="0.3">
      <c r="A10" s="44">
        <v>9</v>
      </c>
      <c r="B10" s="89" t="s">
        <v>78</v>
      </c>
      <c r="C10" s="44">
        <v>2015</v>
      </c>
      <c r="D10" s="44">
        <f t="shared" si="0"/>
        <v>9</v>
      </c>
      <c r="E10" s="44">
        <f t="shared" si="1"/>
        <v>15</v>
      </c>
      <c r="F10" s="90">
        <v>8834000</v>
      </c>
      <c r="G10" s="90">
        <f t="shared" si="2"/>
        <v>5559898.75</v>
      </c>
    </row>
    <row r="11" spans="1:7" x14ac:dyDescent="0.3">
      <c r="A11" s="44">
        <v>10</v>
      </c>
      <c r="B11" s="89" t="s">
        <v>79</v>
      </c>
      <c r="C11" s="44">
        <v>2015</v>
      </c>
      <c r="D11" s="44">
        <f t="shared" si="0"/>
        <v>9</v>
      </c>
      <c r="E11" s="44">
        <f t="shared" si="1"/>
        <v>15</v>
      </c>
      <c r="F11" s="90">
        <v>54942000</v>
      </c>
      <c r="G11" s="90">
        <f t="shared" si="2"/>
        <v>34579121.25</v>
      </c>
    </row>
    <row r="12" spans="1:7" x14ac:dyDescent="0.3">
      <c r="A12" s="44">
        <v>11</v>
      </c>
      <c r="B12" s="89" t="s">
        <v>80</v>
      </c>
      <c r="C12" s="44">
        <v>2015</v>
      </c>
      <c r="D12" s="44">
        <f t="shared" si="0"/>
        <v>9</v>
      </c>
      <c r="E12" s="44">
        <f t="shared" si="1"/>
        <v>15</v>
      </c>
      <c r="F12" s="90">
        <v>23205000</v>
      </c>
      <c r="G12" s="90">
        <f t="shared" si="2"/>
        <v>14604646.875</v>
      </c>
    </row>
    <row r="13" spans="1:7" ht="27.6" x14ac:dyDescent="0.3">
      <c r="A13" s="44">
        <v>12</v>
      </c>
      <c r="B13" s="89" t="s">
        <v>81</v>
      </c>
      <c r="C13" s="44">
        <v>2015</v>
      </c>
      <c r="D13" s="44">
        <f t="shared" si="0"/>
        <v>9</v>
      </c>
      <c r="E13" s="44">
        <f t="shared" si="1"/>
        <v>15</v>
      </c>
      <c r="F13" s="90">
        <v>115661000</v>
      </c>
      <c r="G13" s="90">
        <f t="shared" si="2"/>
        <v>72794141.875</v>
      </c>
    </row>
    <row r="14" spans="1:7" x14ac:dyDescent="0.3">
      <c r="A14" s="44">
        <v>13</v>
      </c>
      <c r="B14" s="89" t="s">
        <v>82</v>
      </c>
      <c r="C14" s="44">
        <v>2015</v>
      </c>
      <c r="D14" s="44">
        <f t="shared" si="0"/>
        <v>9</v>
      </c>
      <c r="E14" s="44">
        <f t="shared" si="1"/>
        <v>15</v>
      </c>
      <c r="F14" s="90">
        <v>55419000</v>
      </c>
      <c r="G14" s="90">
        <f t="shared" si="2"/>
        <v>34879333.125</v>
      </c>
    </row>
    <row r="15" spans="1:7" x14ac:dyDescent="0.3">
      <c r="A15" s="44">
        <v>14</v>
      </c>
      <c r="B15" s="89" t="s">
        <v>83</v>
      </c>
      <c r="C15" s="44">
        <v>2015</v>
      </c>
      <c r="D15" s="44">
        <f t="shared" si="0"/>
        <v>9</v>
      </c>
      <c r="E15" s="44">
        <f t="shared" si="1"/>
        <v>15</v>
      </c>
      <c r="F15" s="90">
        <v>35950000</v>
      </c>
      <c r="G15" s="90">
        <f t="shared" si="2"/>
        <v>22626031.25</v>
      </c>
    </row>
    <row r="16" spans="1:7" x14ac:dyDescent="0.3">
      <c r="A16" s="44">
        <v>15</v>
      </c>
      <c r="B16" s="89" t="s">
        <v>84</v>
      </c>
      <c r="C16" s="44">
        <v>2015</v>
      </c>
      <c r="D16" s="44">
        <f t="shared" si="0"/>
        <v>9</v>
      </c>
      <c r="E16" s="44">
        <f t="shared" si="1"/>
        <v>15</v>
      </c>
      <c r="F16" s="90">
        <v>31498000</v>
      </c>
      <c r="G16" s="90">
        <f t="shared" si="2"/>
        <v>19824053.75</v>
      </c>
    </row>
    <row r="17" spans="1:7" x14ac:dyDescent="0.3">
      <c r="A17" s="44">
        <v>16</v>
      </c>
      <c r="B17" s="89" t="s">
        <v>85</v>
      </c>
      <c r="C17" s="44">
        <v>2015</v>
      </c>
      <c r="D17" s="44">
        <f t="shared" si="0"/>
        <v>9</v>
      </c>
      <c r="E17" s="44">
        <f t="shared" si="1"/>
        <v>15</v>
      </c>
      <c r="F17" s="90">
        <v>2532000</v>
      </c>
      <c r="G17" s="90">
        <f t="shared" si="2"/>
        <v>1593577.5</v>
      </c>
    </row>
    <row r="18" spans="1:7" x14ac:dyDescent="0.3">
      <c r="A18" s="44">
        <v>17</v>
      </c>
      <c r="B18" s="89" t="s">
        <v>85</v>
      </c>
      <c r="C18" s="44">
        <v>2015</v>
      </c>
      <c r="D18" s="44">
        <f t="shared" si="0"/>
        <v>9</v>
      </c>
      <c r="E18" s="44">
        <f t="shared" si="1"/>
        <v>15</v>
      </c>
      <c r="F18" s="90">
        <v>3116000</v>
      </c>
      <c r="G18" s="90">
        <f t="shared" si="2"/>
        <v>1961132.5</v>
      </c>
    </row>
    <row r="19" spans="1:7" ht="27.6" x14ac:dyDescent="0.3">
      <c r="A19" s="44">
        <v>18</v>
      </c>
      <c r="B19" s="89" t="s">
        <v>86</v>
      </c>
      <c r="C19" s="44">
        <v>2015</v>
      </c>
      <c r="D19" s="44">
        <f t="shared" si="0"/>
        <v>9</v>
      </c>
      <c r="E19" s="44">
        <f t="shared" si="1"/>
        <v>15</v>
      </c>
      <c r="F19" s="90">
        <v>20825000</v>
      </c>
      <c r="G19" s="90">
        <f t="shared" si="2"/>
        <v>13106734.375</v>
      </c>
    </row>
    <row r="20" spans="1:7" ht="69" x14ac:dyDescent="0.3">
      <c r="A20" s="44">
        <v>19</v>
      </c>
      <c r="B20" s="89" t="s">
        <v>87</v>
      </c>
      <c r="C20" s="44">
        <v>2015</v>
      </c>
      <c r="D20" s="44">
        <f t="shared" si="0"/>
        <v>9</v>
      </c>
      <c r="E20" s="44">
        <f t="shared" si="1"/>
        <v>15</v>
      </c>
      <c r="F20" s="90">
        <v>110769000</v>
      </c>
      <c r="G20" s="90">
        <f t="shared" si="2"/>
        <v>69715239.375</v>
      </c>
    </row>
    <row r="21" spans="1:7" x14ac:dyDescent="0.3">
      <c r="A21" s="44">
        <v>20</v>
      </c>
      <c r="B21" s="89" t="s">
        <v>88</v>
      </c>
      <c r="C21" s="44">
        <v>2015</v>
      </c>
      <c r="D21" s="44">
        <f t="shared" si="0"/>
        <v>9</v>
      </c>
      <c r="E21" s="44">
        <f t="shared" si="1"/>
        <v>15</v>
      </c>
      <c r="F21" s="90">
        <v>30699000</v>
      </c>
      <c r="G21" s="90">
        <f t="shared" si="2"/>
        <v>19321183.125</v>
      </c>
    </row>
    <row r="22" spans="1:7" x14ac:dyDescent="0.3">
      <c r="A22" s="44"/>
      <c r="B22" s="89"/>
      <c r="C22" s="44"/>
      <c r="D22" s="44"/>
      <c r="E22" s="44"/>
      <c r="F22" s="88">
        <f>SUM(F2:F21)</f>
        <v>1576071000</v>
      </c>
      <c r="G22" s="88">
        <f>SUM(G2:G21)</f>
        <v>991939685.625</v>
      </c>
    </row>
    <row r="34" spans="3:5" x14ac:dyDescent="0.3">
      <c r="C34">
        <v>150</v>
      </c>
      <c r="D34">
        <v>9</v>
      </c>
      <c r="E34">
        <v>16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E11:V307"/>
  <sheetViews>
    <sheetView topLeftCell="A85" zoomScale="85" zoomScaleNormal="85" workbookViewId="0">
      <selection activeCell="C112" sqref="C112"/>
    </sheetView>
  </sheetViews>
  <sheetFormatPr defaultRowHeight="14.4" x14ac:dyDescent="0.3"/>
  <cols>
    <col min="3" max="3" width="16.109375" customWidth="1"/>
    <col min="4" max="4" width="17.5546875" customWidth="1"/>
    <col min="5" max="5" width="15" customWidth="1"/>
    <col min="6" max="6" width="19.5546875" style="1" customWidth="1"/>
    <col min="7" max="7" width="19.6640625" customWidth="1"/>
    <col min="8" max="8" width="23.88671875" customWidth="1"/>
    <col min="9" max="9" width="10" bestFit="1" customWidth="1"/>
    <col min="12" max="12" width="14.33203125" bestFit="1" customWidth="1"/>
    <col min="14" max="14" width="10" style="14" bestFit="1" customWidth="1"/>
    <col min="15" max="15" width="14.33203125" style="14" bestFit="1" customWidth="1"/>
    <col min="16" max="16" width="14.6640625" style="14" bestFit="1" customWidth="1"/>
    <col min="17" max="17" width="15.6640625" style="14" bestFit="1" customWidth="1"/>
    <col min="20" max="21" width="12.6640625" style="14" bestFit="1" customWidth="1"/>
    <col min="22" max="22" width="10.33203125" style="14" bestFit="1" customWidth="1"/>
  </cols>
  <sheetData>
    <row r="11" spans="5:22" s="9" customFormat="1" x14ac:dyDescent="0.3">
      <c r="F11" s="10"/>
      <c r="G11" s="10"/>
      <c r="H11" s="10"/>
      <c r="N11" s="15"/>
      <c r="O11" s="15"/>
      <c r="P11" s="15"/>
      <c r="Q11" s="15"/>
      <c r="T11" s="15"/>
      <c r="U11" s="15"/>
      <c r="V11" s="15"/>
    </row>
    <row r="12" spans="5:22" x14ac:dyDescent="0.3">
      <c r="E12" s="9"/>
    </row>
    <row r="138" spans="12:12" x14ac:dyDescent="0.3">
      <c r="L138" s="13"/>
    </row>
    <row r="304" spans="8:9" x14ac:dyDescent="0.3">
      <c r="H304" s="14"/>
      <c r="I304" s="14"/>
    </row>
    <row r="305" spans="8:8" x14ac:dyDescent="0.3">
      <c r="H305" s="14"/>
    </row>
    <row r="306" spans="8:8" x14ac:dyDescent="0.3">
      <c r="H306" s="14"/>
    </row>
    <row r="307" spans="8:8" x14ac:dyDescent="0.3">
      <c r="H307" s="14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Summary</vt:lpstr>
      <vt:lpstr>Valuation</vt:lpstr>
      <vt:lpstr>Sheet1</vt:lpstr>
      <vt:lpstr>Land</vt:lpstr>
      <vt:lpstr>Circle Rate</vt:lpstr>
      <vt:lpstr>P&amp;M</vt:lpstr>
      <vt:lpstr>Sale Instances</vt:lpstr>
      <vt:lpstr>Valuation!Print_Area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116-PC</dc:creator>
  <cp:lastModifiedBy>Avinash pandey</cp:lastModifiedBy>
  <cp:lastPrinted>2023-06-14T13:02:57Z</cp:lastPrinted>
  <dcterms:created xsi:type="dcterms:W3CDTF">2015-06-05T18:17:20Z</dcterms:created>
  <dcterms:modified xsi:type="dcterms:W3CDTF">2024-02-22T06:09:39Z</dcterms:modified>
</cp:coreProperties>
</file>