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4-2025\ALL BANK\Union Bank of India\New folder\Duby\Making\"/>
    </mc:Choice>
  </mc:AlternateContent>
  <bookViews>
    <workbookView xWindow="0" yWindow="0" windowWidth="21600" windowHeight="9645"/>
  </bookViews>
  <sheets>
    <sheet name="Valuation" sheetId="2" r:id="rId1"/>
    <sheet name="Work Comletation" sheetId="4" r:id="rId2"/>
    <sheet name="Sheet1" sheetId="3" r:id="rId3"/>
  </sheets>
  <calcPr calcId="162913"/>
</workbook>
</file>

<file path=xl/calcChain.xml><?xml version="1.0" encoding="utf-8"?>
<calcChain xmlns="http://schemas.openxmlformats.org/spreadsheetml/2006/main">
  <c r="K2" i="2" l="1"/>
  <c r="G23" i="4"/>
  <c r="E14" i="4"/>
  <c r="E15" i="4"/>
  <c r="G15" i="4" s="1"/>
  <c r="E16" i="4"/>
  <c r="E17" i="4"/>
  <c r="G17" i="4" s="1"/>
  <c r="E18" i="4"/>
  <c r="E19" i="4"/>
  <c r="G19" i="4" s="1"/>
  <c r="E20" i="4"/>
  <c r="E21" i="4"/>
  <c r="G21" i="4" s="1"/>
  <c r="E13" i="4"/>
  <c r="G11" i="4"/>
  <c r="G12" i="4"/>
  <c r="G13" i="4"/>
  <c r="G14" i="4"/>
  <c r="G16" i="4"/>
  <c r="G18" i="4"/>
  <c r="G20" i="4"/>
  <c r="G22" i="4"/>
  <c r="G8" i="4"/>
  <c r="G9" i="4"/>
  <c r="G10" i="4"/>
  <c r="C23" i="4"/>
  <c r="G23" i="2"/>
  <c r="O21" i="2" l="1"/>
  <c r="N21" i="2"/>
  <c r="M28" i="2"/>
  <c r="N26" i="2"/>
  <c r="O26" i="2" s="1"/>
  <c r="N27" i="2"/>
  <c r="O27" i="2" s="1"/>
  <c r="G47" i="2"/>
  <c r="G44" i="2"/>
  <c r="H19" i="2"/>
  <c r="I37" i="2"/>
  <c r="I36" i="2"/>
  <c r="H38" i="2"/>
  <c r="I38" i="2" s="1"/>
  <c r="N41" i="2"/>
  <c r="O41" i="2" s="1"/>
  <c r="N40" i="2"/>
  <c r="O40" i="2" s="1"/>
  <c r="M42" i="2"/>
  <c r="N42" i="2" s="1"/>
  <c r="O42" i="2" s="1"/>
  <c r="N28" i="2" l="1"/>
  <c r="O28" i="2" s="1"/>
  <c r="O31" i="2"/>
  <c r="O32" i="2" s="1"/>
  <c r="O36" i="2"/>
  <c r="I3" i="2" l="1"/>
  <c r="O8" i="2"/>
  <c r="J8" i="2"/>
  <c r="L8" i="2" s="1"/>
  <c r="N8" i="2" s="1"/>
  <c r="R8" i="2" s="1"/>
  <c r="R16" i="2" s="1"/>
  <c r="D30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I9" i="2" l="1"/>
  <c r="M8" i="2"/>
  <c r="I10" i="2"/>
  <c r="I11" i="2"/>
  <c r="I8" i="2"/>
  <c r="M9" i="2"/>
  <c r="M10" i="2"/>
  <c r="M11" i="2"/>
  <c r="C26" i="2" l="1"/>
  <c r="C32" i="2" s="1"/>
  <c r="C21" i="2"/>
  <c r="C31" i="2" s="1"/>
  <c r="O15" i="2"/>
  <c r="J15" i="2"/>
  <c r="K15" i="2" s="1"/>
  <c r="L15" i="2" s="1"/>
  <c r="N15" i="2" s="1"/>
  <c r="H15" i="2"/>
  <c r="I15" i="2" s="1"/>
  <c r="O14" i="2"/>
  <c r="H14" i="2"/>
  <c r="O13" i="2"/>
  <c r="H13" i="2"/>
  <c r="I13" i="2" s="1"/>
  <c r="O12" i="2"/>
  <c r="H12" i="2"/>
  <c r="C4" i="2"/>
  <c r="J2" i="2"/>
  <c r="L2" i="2" s="1"/>
  <c r="C29" i="2" l="1"/>
  <c r="D29" i="2"/>
  <c r="D33" i="2" s="1"/>
  <c r="M15" i="2"/>
  <c r="J13" i="2"/>
  <c r="K13" i="2" s="1"/>
  <c r="L13" i="2" s="1"/>
  <c r="N13" i="2" s="1"/>
  <c r="M13" i="2" s="1"/>
  <c r="J12" i="2"/>
  <c r="K12" i="2" s="1"/>
  <c r="L12" i="2" s="1"/>
  <c r="N12" i="2" s="1"/>
  <c r="I12" i="2"/>
  <c r="J14" i="2"/>
  <c r="K14" i="2" s="1"/>
  <c r="L14" i="2" s="1"/>
  <c r="N14" i="2" s="1"/>
  <c r="M14" i="2" s="1"/>
  <c r="I14" i="2"/>
  <c r="O16" i="2"/>
  <c r="C36" i="2" s="1"/>
  <c r="C37" i="2" s="1"/>
  <c r="D35" i="2" l="1"/>
  <c r="D34" i="2"/>
  <c r="N16" i="2"/>
  <c r="M12" i="2"/>
  <c r="M16" i="2" s="1"/>
  <c r="C30" i="2" l="1"/>
  <c r="C33" i="2" s="1"/>
  <c r="L3" i="2"/>
  <c r="L4" i="2" s="1"/>
  <c r="P2" i="2" l="1"/>
  <c r="R2" i="2" s="1"/>
  <c r="C34" i="2"/>
  <c r="P4" i="2"/>
  <c r="R4" i="2" s="1"/>
  <c r="P3" i="2"/>
  <c r="C35" i="2"/>
  <c r="R3" i="2"/>
</calcChain>
</file>

<file path=xl/sharedStrings.xml><?xml version="1.0" encoding="utf-8"?>
<sst xmlns="http://schemas.openxmlformats.org/spreadsheetml/2006/main" count="108" uniqueCount="91">
  <si>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</si>
  <si>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</si>
  <si>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</si>
  <si>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</si>
  <si>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</si>
  <si>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</si>
  <si>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</si>
  <si>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</si>
  <si>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</si>
  <si>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</si>
  <si>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</si>
  <si>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</si>
  <si>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</si>
  <si>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</si>
  <si>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</si>
  <si>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</si>
  <si>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</si>
  <si>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</si>
  <si>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</si>
  <si>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</si>
  <si>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</si>
  <si>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</si>
  <si>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</si>
  <si>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</si>
  <si>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</si>
  <si>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</si>
  <si>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</si>
  <si>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</si>
  <si>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</si>
  <si>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</si>
  <si>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</si>
  <si>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</si>
  <si>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</si>
  <si>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</si>
  <si>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</si>
  <si>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</si>
  <si>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</si>
  <si>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</si>
  <si>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</si>
  <si>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</si>
  <si>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</si>
  <si>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Net Insurable Value</t>
  </si>
  <si>
    <t>Full Value</t>
  </si>
  <si>
    <t>(Sq. M. / Sq. Ft.)</t>
  </si>
  <si>
    <t>Sq. M. / Sq. Ft.</t>
  </si>
  <si>
    <t>Proportionate Value</t>
  </si>
  <si>
    <t>Work Completed</t>
  </si>
  <si>
    <t>Sale Deed</t>
  </si>
  <si>
    <t>1.2 Acre</t>
  </si>
  <si>
    <t>Sq. M.</t>
  </si>
  <si>
    <t>Approved Plan</t>
  </si>
  <si>
    <t>Hac</t>
  </si>
  <si>
    <t>Saurvey No. 85/1/3</t>
  </si>
  <si>
    <t>Online Show Of survey No. 85/1/4/1</t>
  </si>
  <si>
    <t>Online Show Of survey No. 85/1/4/2</t>
  </si>
  <si>
    <t>Saurvey No. 85/1/4</t>
  </si>
  <si>
    <t>Area in Sq. Ft.</t>
  </si>
  <si>
    <t>Rcc Area (Ground Floor)</t>
  </si>
  <si>
    <t>Rcc (First Floor)</t>
  </si>
  <si>
    <t>Total Rcc Area</t>
  </si>
  <si>
    <t>Tin Shed Area (Ground Floor)</t>
  </si>
  <si>
    <t>Tin Shed Area (First Floor)</t>
  </si>
  <si>
    <t>Total Tin Shed Area</t>
  </si>
  <si>
    <t>As per Diversion Order</t>
  </si>
  <si>
    <t>As per Sale Deed</t>
  </si>
  <si>
    <t>As Per Approved Building Plan</t>
  </si>
  <si>
    <t>The Land Area of Survey No.  85/1/3</t>
  </si>
  <si>
    <t>Survey No.</t>
  </si>
  <si>
    <t>Hac.</t>
  </si>
  <si>
    <t>Sq.Ft</t>
  </si>
  <si>
    <t>Stagewise pecentage of work completion</t>
  </si>
  <si>
    <t>Sr.</t>
  </si>
  <si>
    <t>Percentage</t>
  </si>
  <si>
    <t>RCC Footing/Foundation</t>
  </si>
  <si>
    <t>RCC Plinth</t>
  </si>
  <si>
    <t>Full Building RCC</t>
  </si>
  <si>
    <t>Internal Brick work</t>
  </si>
  <si>
    <t>External Brickwork</t>
  </si>
  <si>
    <t>Internal plastering</t>
  </si>
  <si>
    <t xml:space="preserve"> External plastering</t>
  </si>
  <si>
    <t>Doors &amp; Windows</t>
  </si>
  <si>
    <t>Flooring, Tiling, Kitchen Platform</t>
  </si>
  <si>
    <t>Internal painting</t>
  </si>
  <si>
    <t>External painting</t>
  </si>
  <si>
    <t>Electrification, plumbing &amp; Sanitary installation</t>
  </si>
  <si>
    <t>Lift Installation</t>
  </si>
  <si>
    <t>Passage, Staircase &amp; Lobby development</t>
  </si>
  <si>
    <t>External developments / Final finishing work</t>
  </si>
  <si>
    <t>Ground Floor</t>
  </si>
  <si>
    <t>First Floor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</si>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</sst>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_(* #,##0_);_(* \(#,##0\);_(* &quot;-&quot;??_);_(@_)"/>
    <numFmt numFmtId="166" formatCode="0.000"/>
  </numFmts>
  <fonts count="18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5" fillId="0" borderId="0" applyFont="0" applyFill="0" applyBorder="0" applyAlignment="0" applyProtection="0"/>
  </cellStyleXfs>
  <cellXfs count="14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0" fontId="9" fillId="0" borderId="1" xfId="0" applyFont="1" applyBorder="1" applyAlignment="1">
      <alignment horizontal="right" vertic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1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right"/>
    </xf>
    <xf numFmtId="165" fontId="8" fillId="0" borderId="0" xfId="1" applyNumberFormat="1" applyFont="1" applyAlignment="1">
      <alignment horizontal="right"/>
    </xf>
    <xf numFmtId="166" fontId="3" fillId="0" borderId="0" xfId="0" applyNumberFormat="1" applyFont="1"/>
    <xf numFmtId="0" fontId="8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4" fontId="1" fillId="0" borderId="12" xfId="0" applyNumberFormat="1" applyFont="1" applyBorder="1" applyAlignment="1">
      <alignment horizontal="right" vertical="center" wrapText="1"/>
    </xf>
    <xf numFmtId="0" fontId="8" fillId="0" borderId="9" xfId="0" applyFont="1" applyBorder="1" applyAlignment="1">
      <alignment horizontal="center" vertical="center" wrapText="1"/>
    </xf>
    <xf numFmtId="4" fontId="8" fillId="0" borderId="12" xfId="0" applyNumberFormat="1" applyFont="1" applyBorder="1" applyAlignment="1">
      <alignment horizontal="right" vertical="center" wrapText="1"/>
    </xf>
    <xf numFmtId="4" fontId="8" fillId="0" borderId="12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164" fontId="16" fillId="0" borderId="1" xfId="1" applyFont="1" applyBorder="1" applyAlignment="1">
      <alignment horizontal="center" vertical="top"/>
    </xf>
    <xf numFmtId="164" fontId="10" fillId="0" borderId="16" xfId="1" applyFont="1" applyBorder="1"/>
    <xf numFmtId="164" fontId="3" fillId="0" borderId="18" xfId="1" applyFont="1" applyBorder="1"/>
    <xf numFmtId="164" fontId="3" fillId="0" borderId="17" xfId="1" applyFont="1" applyBorder="1"/>
    <xf numFmtId="164" fontId="1" fillId="0" borderId="4" xfId="1" applyFont="1" applyBorder="1"/>
    <xf numFmtId="164" fontId="1" fillId="0" borderId="14" xfId="1" applyFont="1" applyBorder="1"/>
    <xf numFmtId="164" fontId="16" fillId="0" borderId="6" xfId="1" applyFont="1" applyBorder="1" applyAlignment="1">
      <alignment horizontal="center"/>
    </xf>
    <xf numFmtId="164" fontId="1" fillId="0" borderId="8" xfId="1" applyFont="1" applyBorder="1"/>
    <xf numFmtId="164" fontId="9" fillId="0" borderId="6" xfId="1" applyFont="1" applyBorder="1"/>
    <xf numFmtId="164" fontId="1" fillId="0" borderId="6" xfId="1" applyFont="1" applyBorder="1"/>
    <xf numFmtId="164" fontId="1" fillId="0" borderId="7" xfId="1" applyFont="1" applyBorder="1"/>
    <xf numFmtId="164" fontId="16" fillId="0" borderId="6" xfId="1" applyFont="1" applyBorder="1"/>
    <xf numFmtId="164" fontId="1" fillId="0" borderId="13" xfId="1" applyFont="1" applyBorder="1"/>
    <xf numFmtId="164" fontId="16" fillId="0" borderId="21" xfId="1" applyFont="1" applyBorder="1" applyAlignment="1">
      <alignment horizontal="center"/>
    </xf>
    <xf numFmtId="164" fontId="16" fillId="0" borderId="10" xfId="1" applyFont="1" applyBorder="1" applyAlignment="1">
      <alignment horizontal="center"/>
    </xf>
    <xf numFmtId="164" fontId="16" fillId="0" borderId="22" xfId="1" applyFont="1" applyBorder="1" applyAlignment="1">
      <alignment horizontal="center"/>
    </xf>
    <xf numFmtId="164" fontId="16" fillId="0" borderId="6" xfId="1" applyFont="1" applyBorder="1" applyAlignment="1">
      <alignment horizontal="center" vertical="top"/>
    </xf>
    <xf numFmtId="164" fontId="16" fillId="0" borderId="6" xfId="1" applyFont="1" applyBorder="1" applyAlignment="1">
      <alignment horizontal="center"/>
    </xf>
    <xf numFmtId="164" fontId="9" fillId="0" borderId="6" xfId="1" applyFont="1" applyBorder="1" applyAlignment="1">
      <alignment horizontal="center" vertical="top"/>
    </xf>
    <xf numFmtId="164" fontId="9" fillId="0" borderId="6" xfId="1" applyFont="1" applyBorder="1" applyAlignment="1">
      <alignment horizontal="center"/>
    </xf>
    <xf numFmtId="164" fontId="16" fillId="0" borderId="24" xfId="1" applyFont="1" applyBorder="1" applyAlignment="1">
      <alignment horizontal="center"/>
    </xf>
    <xf numFmtId="164" fontId="16" fillId="0" borderId="19" xfId="1" applyFont="1" applyBorder="1" applyAlignment="1">
      <alignment horizontal="center"/>
    </xf>
    <xf numFmtId="164" fontId="3" fillId="0" borderId="23" xfId="1" applyFont="1" applyBorder="1" applyAlignment="1"/>
    <xf numFmtId="164" fontId="16" fillId="0" borderId="9" xfId="1" applyFont="1" applyBorder="1" applyAlignment="1">
      <alignment horizontal="center" wrapText="1"/>
    </xf>
    <xf numFmtId="164" fontId="16" fillId="0" borderId="9" xfId="1" applyFont="1" applyBorder="1" applyAlignment="1">
      <alignment horizontal="center" vertical="top"/>
    </xf>
    <xf numFmtId="164" fontId="16" fillId="0" borderId="6" xfId="1" applyFont="1" applyBorder="1" applyAlignment="1">
      <alignment horizontal="center" wrapText="1"/>
    </xf>
    <xf numFmtId="164" fontId="3" fillId="0" borderId="23" xfId="1" applyFont="1" applyBorder="1"/>
    <xf numFmtId="164" fontId="1" fillId="0" borderId="20" xfId="1" applyFont="1" applyBorder="1"/>
    <xf numFmtId="164" fontId="3" fillId="0" borderId="5" xfId="1" applyFont="1" applyBorder="1"/>
    <xf numFmtId="164" fontId="3" fillId="0" borderId="19" xfId="1" applyFont="1" applyBorder="1"/>
    <xf numFmtId="164" fontId="1" fillId="0" borderId="5" xfId="1" applyFont="1" applyBorder="1" applyAlignment="1">
      <alignment horizontal="right" vertical="top" wrapText="1"/>
    </xf>
    <xf numFmtId="164" fontId="1" fillId="0" borderId="15" xfId="1" applyFont="1" applyBorder="1"/>
    <xf numFmtId="164" fontId="1" fillId="0" borderId="0" xfId="1" applyFont="1"/>
    <xf numFmtId="164" fontId="1" fillId="0" borderId="6" xfId="1" applyFont="1" applyBorder="1" applyAlignment="1">
      <alignment vertical="top"/>
    </xf>
    <xf numFmtId="164" fontId="3" fillId="0" borderId="6" xfId="1" applyFont="1" applyBorder="1" applyAlignment="1"/>
    <xf numFmtId="164" fontId="1" fillId="0" borderId="26" xfId="1" applyFont="1" applyBorder="1" applyAlignment="1">
      <alignment horizontal="center"/>
    </xf>
    <xf numFmtId="164" fontId="1" fillId="0" borderId="27" xfId="1" applyFont="1" applyBorder="1" applyAlignment="1">
      <alignment horizontal="center"/>
    </xf>
    <xf numFmtId="164" fontId="1" fillId="0" borderId="28" xfId="1" applyFont="1" applyBorder="1" applyAlignment="1">
      <alignment horizontal="center"/>
    </xf>
    <xf numFmtId="164" fontId="1" fillId="0" borderId="9" xfId="1" applyFont="1" applyBorder="1" applyAlignment="1">
      <alignment vertical="top"/>
    </xf>
    <xf numFmtId="164" fontId="3" fillId="0" borderId="9" xfId="1" applyFont="1" applyBorder="1" applyAlignment="1"/>
    <xf numFmtId="0" fontId="1" fillId="0" borderId="25" xfId="0" applyFont="1" applyBorder="1"/>
    <xf numFmtId="0" fontId="3" fillId="0" borderId="25" xfId="0" applyFont="1" applyBorder="1"/>
    <xf numFmtId="0" fontId="17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49" fontId="0" fillId="0" borderId="0" xfId="0" applyNumberFormat="1" applyAlignment="1">
      <alignment horizontal="center" vertical="top"/>
    </xf>
    <xf numFmtId="0" fontId="17" fillId="0" borderId="6" xfId="0" applyFont="1" applyBorder="1" applyAlignment="1">
      <alignment horizontal="center" vertical="top"/>
    </xf>
    <xf numFmtId="0" fontId="17" fillId="0" borderId="6" xfId="0" applyFont="1" applyBorder="1" applyAlignment="1">
      <alignment horizontal="center" vertical="top" wrapText="1"/>
    </xf>
    <xf numFmtId="49" fontId="17" fillId="0" borderId="6" xfId="0" applyNumberFormat="1" applyFont="1" applyBorder="1" applyAlignment="1">
      <alignment horizontal="center" vertical="top"/>
    </xf>
    <xf numFmtId="0" fontId="17" fillId="0" borderId="0" xfId="0" applyFont="1" applyAlignment="1">
      <alignment horizontal="center" vertical="top"/>
    </xf>
    <xf numFmtId="0" fontId="0" fillId="0" borderId="29" xfId="0" applyBorder="1" applyAlignment="1">
      <alignment horizontal="center" vertical="top"/>
    </xf>
    <xf numFmtId="0" fontId="0" fillId="0" borderId="30" xfId="0" applyBorder="1" applyAlignment="1">
      <alignment horizontal="center" vertical="top" wrapText="1"/>
    </xf>
    <xf numFmtId="49" fontId="0" fillId="0" borderId="31" xfId="0" applyNumberFormat="1" applyBorder="1" applyAlignment="1">
      <alignment horizontal="center" vertical="top"/>
    </xf>
    <xf numFmtId="0" fontId="0" fillId="0" borderId="32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2" fontId="0" fillId="0" borderId="33" xfId="0" applyNumberFormat="1" applyBorder="1" applyAlignment="1">
      <alignment horizontal="center" vertical="top"/>
    </xf>
    <xf numFmtId="0" fontId="0" fillId="0" borderId="34" xfId="0" applyBorder="1" applyAlignment="1">
      <alignment horizontal="center" vertical="top" wrapText="1"/>
    </xf>
    <xf numFmtId="2" fontId="0" fillId="0" borderId="35" xfId="0" applyNumberFormat="1" applyBorder="1" applyAlignment="1">
      <alignment horizontal="center" vertical="top"/>
    </xf>
    <xf numFmtId="2" fontId="0" fillId="0" borderId="0" xfId="0" applyNumberFormat="1" applyAlignment="1">
      <alignment horizontal="center" vertical="top"/>
    </xf>
    <xf numFmtId="165" fontId="1" fillId="0" borderId="0" xfId="1" applyNumberFormat="1" applyFont="1" applyAlignment="1">
      <alignment vertical="top"/>
    </xf>
    <xf numFmtId="165" fontId="1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22</xdr:col>
      <xdr:colOff>303086</xdr:colOff>
      <xdr:row>90</xdr:row>
      <xdr:rowOff>189428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13714286" cy="85714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0</xdr:rowOff>
    </xdr:from>
    <xdr:to>
      <xdr:col>22</xdr:col>
      <xdr:colOff>303086</xdr:colOff>
      <xdr:row>137</xdr:row>
      <xdr:rowOff>189428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71650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3"/>
  <sheetViews>
    <sheetView tabSelected="1" zoomScale="85" zoomScaleNormal="85" workbookViewId="0">
      <pane xSplit="2" ySplit="6" topLeftCell="C22" activePane="bottomRight" state="frozen"/>
      <selection pane="topRight" activeCell="C1" sqref="C1"/>
      <selection pane="bottomLeft" activeCell="A7" sqref="A7"/>
      <selection pane="bottomRight" activeCell="L2" sqref="L2:L5"/>
    </sheetView>
  </sheetViews>
  <sheetFormatPr defaultRowHeight="16.5"/>
  <cols>
    <col min="1" max="1" width="9.140625" style="41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6" width="29.5703125" style="7" customWidth="1"/>
    <col min="7" max="7" width="13.85546875" style="7" bestFit="1" customWidth="1"/>
    <col min="8" max="8" width="15.28515625" style="7" bestFit="1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27.425781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7" width="13.7109375" style="1" bestFit="1" customWidth="1"/>
    <col min="18" max="18" width="16.140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>
      <c r="B1" s="13" t="s">
        <v>13</v>
      </c>
      <c r="H1" s="7" t="s">
        <v>38</v>
      </c>
      <c r="K1" s="7" t="s">
        <v>25</v>
      </c>
      <c r="O1" s="7" t="s">
        <v>33</v>
      </c>
      <c r="R1" s="7" t="s">
        <v>33</v>
      </c>
    </row>
    <row r="2" spans="1:19">
      <c r="B2" s="23" t="s">
        <v>11</v>
      </c>
      <c r="C2" s="65">
        <v>10040</v>
      </c>
      <c r="D2" s="7" t="s">
        <v>44</v>
      </c>
      <c r="E2" s="4"/>
      <c r="F2" s="4"/>
      <c r="G2" s="25"/>
      <c r="H2" s="1" t="s">
        <v>39</v>
      </c>
      <c r="I2" s="65">
        <v>10000</v>
      </c>
      <c r="J2" s="65">
        <f>C2</f>
        <v>10040</v>
      </c>
      <c r="K2" s="65">
        <f>I2</f>
        <v>10000</v>
      </c>
      <c r="L2" s="54">
        <f>J2*K2</f>
        <v>100400000</v>
      </c>
      <c r="O2" s="62" t="s">
        <v>35</v>
      </c>
      <c r="P2" s="63">
        <f>C33</f>
        <v>113247590</v>
      </c>
      <c r="R2" s="20">
        <f>P2*0.025/12</f>
        <v>235932.47916666666</v>
      </c>
      <c r="S2" s="18" t="s">
        <v>34</v>
      </c>
    </row>
    <row r="3" spans="1:19">
      <c r="B3" s="24" t="s">
        <v>6</v>
      </c>
      <c r="C3" s="53">
        <v>8600</v>
      </c>
      <c r="D3" s="15"/>
      <c r="E3" s="26"/>
      <c r="F3" s="26"/>
      <c r="G3" s="15"/>
      <c r="H3" s="1" t="s">
        <v>40</v>
      </c>
      <c r="I3" s="65">
        <f>MROUND(I2/10.764,1)</f>
        <v>929</v>
      </c>
      <c r="J3" s="65"/>
      <c r="K3" s="54"/>
      <c r="L3" s="54">
        <f>N16</f>
        <v>26903590</v>
      </c>
      <c r="O3" s="62" t="s">
        <v>35</v>
      </c>
      <c r="P3" s="63">
        <f>C33</f>
        <v>113247590</v>
      </c>
      <c r="Q3" s="7"/>
      <c r="R3" s="20">
        <f>P3*0.04/12</f>
        <v>377491.96666666673</v>
      </c>
      <c r="S3" s="64" t="s">
        <v>36</v>
      </c>
    </row>
    <row r="4" spans="1:19">
      <c r="B4" s="32" t="s">
        <v>18</v>
      </c>
      <c r="C4" s="54">
        <f>ROUND((C2*C3),0)</f>
        <v>86344000</v>
      </c>
      <c r="F4" s="22"/>
      <c r="G4" s="22"/>
      <c r="I4" s="54"/>
      <c r="J4" s="65"/>
      <c r="K4" s="54"/>
      <c r="L4" s="54">
        <f>SUM(L2:L3)</f>
        <v>127303590</v>
      </c>
      <c r="O4" s="62" t="s">
        <v>35</v>
      </c>
      <c r="P4" s="63">
        <f>C33</f>
        <v>113247590</v>
      </c>
      <c r="Q4" s="7"/>
      <c r="R4" s="20">
        <f>P4*0.033/12</f>
        <v>311430.8725</v>
      </c>
      <c r="S4" s="18" t="s">
        <v>37</v>
      </c>
    </row>
    <row r="5" spans="1:19">
      <c r="B5" s="13" t="s">
        <v>14</v>
      </c>
    </row>
    <row r="6" spans="1:19" s="3" customFormat="1" ht="60">
      <c r="A6" s="42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43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44" t="s">
        <v>26</v>
      </c>
      <c r="N6" s="5" t="s">
        <v>17</v>
      </c>
      <c r="O6" s="5" t="s">
        <v>42</v>
      </c>
      <c r="Q6" s="3" t="s">
        <v>46</v>
      </c>
      <c r="R6" s="3" t="s">
        <v>45</v>
      </c>
    </row>
    <row r="7" spans="1:19" s="3" customFormat="1" ht="15">
      <c r="A7" s="42"/>
      <c r="B7" s="4"/>
      <c r="C7" s="5" t="s">
        <v>43</v>
      </c>
      <c r="D7" s="4"/>
      <c r="E7" s="4"/>
      <c r="F7" s="4"/>
      <c r="G7" s="43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9" s="11" customFormat="1">
      <c r="A8" s="50">
        <v>1</v>
      </c>
      <c r="B8" s="47"/>
      <c r="C8" s="45">
        <v>1682</v>
      </c>
      <c r="D8" s="51">
        <v>2024</v>
      </c>
      <c r="E8" s="51">
        <v>2024</v>
      </c>
      <c r="F8" s="51">
        <v>60</v>
      </c>
      <c r="G8" s="55">
        <v>16000</v>
      </c>
      <c r="H8" s="56">
        <v>0</v>
      </c>
      <c r="I8" s="56">
        <f t="shared" ref="I8" si="0">F8-H8</f>
        <v>60</v>
      </c>
      <c r="J8" s="56">
        <f t="shared" ref="J8" si="1">IF(H8&gt;=5,90*H8/F8,0)</f>
        <v>0</v>
      </c>
      <c r="K8" s="56">
        <v>5</v>
      </c>
      <c r="L8" s="56">
        <f t="shared" ref="L8" si="2">ROUND((G8-K8),0)</f>
        <v>15995</v>
      </c>
      <c r="M8" s="56">
        <f t="shared" ref="M8" si="3">O8-N8</f>
        <v>8410</v>
      </c>
      <c r="N8" s="56">
        <f t="shared" ref="N8" si="4">ROUND((L8*C8),0)</f>
        <v>26903590</v>
      </c>
      <c r="O8" s="56">
        <f t="shared" ref="O8" si="5">ROUND((C8*G8),0)</f>
        <v>26912000</v>
      </c>
      <c r="P8" s="11">
        <v>100</v>
      </c>
      <c r="Q8" s="11">
        <v>81.25</v>
      </c>
      <c r="R8" s="140">
        <f>N8/P8*Q8</f>
        <v>21859166.875000004</v>
      </c>
    </row>
    <row r="9" spans="1:19" s="11" customFormat="1">
      <c r="A9" s="52">
        <v>2</v>
      </c>
      <c r="B9" s="47"/>
      <c r="C9" s="45">
        <v>0</v>
      </c>
      <c r="D9" s="51">
        <v>0</v>
      </c>
      <c r="E9" s="51">
        <v>0</v>
      </c>
      <c r="F9" s="51">
        <v>60</v>
      </c>
      <c r="G9" s="55">
        <v>0</v>
      </c>
      <c r="H9" s="56">
        <f t="shared" ref="H9:H11" si="6">E9-D9</f>
        <v>0</v>
      </c>
      <c r="I9" s="56">
        <f t="shared" ref="I9:I15" si="7">F9-H9</f>
        <v>60</v>
      </c>
      <c r="J9" s="56">
        <f t="shared" ref="J9:J11" si="8">IF(H9&gt;=5,90*H9/F9,0)</f>
        <v>0</v>
      </c>
      <c r="K9" s="56">
        <f t="shared" ref="K9:K11" si="9">G9/100*J9</f>
        <v>0</v>
      </c>
      <c r="L9" s="56">
        <f t="shared" ref="L9:L11" si="10">ROUND((G9-K9),0)</f>
        <v>0</v>
      </c>
      <c r="M9" s="56">
        <f t="shared" ref="M9:M11" si="11">O9-N9</f>
        <v>0</v>
      </c>
      <c r="N9" s="56">
        <f t="shared" ref="N9:N11" si="12">ROUND((L9*C9),0)</f>
        <v>0</v>
      </c>
      <c r="O9" s="56">
        <f t="shared" ref="O9:O11" si="13">ROUND((C9*G9),0)</f>
        <v>0</v>
      </c>
    </row>
    <row r="10" spans="1:19" s="11" customFormat="1" ht="17.25" customHeight="1">
      <c r="A10" s="50">
        <v>3</v>
      </c>
      <c r="B10" s="47"/>
      <c r="C10" s="45">
        <v>0</v>
      </c>
      <c r="D10" s="51">
        <v>0</v>
      </c>
      <c r="E10" s="51">
        <v>0</v>
      </c>
      <c r="F10" s="51">
        <v>60</v>
      </c>
      <c r="G10" s="55">
        <v>0</v>
      </c>
      <c r="H10" s="56">
        <f t="shared" si="6"/>
        <v>0</v>
      </c>
      <c r="I10" s="56">
        <f t="shared" si="7"/>
        <v>60</v>
      </c>
      <c r="J10" s="56">
        <f t="shared" si="8"/>
        <v>0</v>
      </c>
      <c r="K10" s="56">
        <f t="shared" si="9"/>
        <v>0</v>
      </c>
      <c r="L10" s="56">
        <f t="shared" si="10"/>
        <v>0</v>
      </c>
      <c r="M10" s="56">
        <f t="shared" si="11"/>
        <v>0</v>
      </c>
      <c r="N10" s="56">
        <f t="shared" si="12"/>
        <v>0</v>
      </c>
      <c r="O10" s="56">
        <f t="shared" si="13"/>
        <v>0</v>
      </c>
    </row>
    <row r="11" spans="1:19" s="11" customFormat="1">
      <c r="A11" s="52">
        <v>4</v>
      </c>
      <c r="B11" s="47"/>
      <c r="C11" s="45">
        <v>0</v>
      </c>
      <c r="D11" s="51">
        <v>0</v>
      </c>
      <c r="E11" s="51">
        <v>0</v>
      </c>
      <c r="F11" s="51">
        <v>60</v>
      </c>
      <c r="G11" s="55">
        <v>0</v>
      </c>
      <c r="H11" s="56">
        <f t="shared" si="6"/>
        <v>0</v>
      </c>
      <c r="I11" s="56">
        <f t="shared" si="7"/>
        <v>60</v>
      </c>
      <c r="J11" s="56">
        <f t="shared" si="8"/>
        <v>0</v>
      </c>
      <c r="K11" s="56">
        <f t="shared" si="9"/>
        <v>0</v>
      </c>
      <c r="L11" s="56">
        <f t="shared" si="10"/>
        <v>0</v>
      </c>
      <c r="M11" s="56">
        <f t="shared" si="11"/>
        <v>0</v>
      </c>
      <c r="N11" s="56">
        <f t="shared" si="12"/>
        <v>0</v>
      </c>
      <c r="O11" s="56">
        <f t="shared" si="13"/>
        <v>0</v>
      </c>
    </row>
    <row r="12" spans="1:19" s="11" customFormat="1">
      <c r="A12" s="50">
        <v>5</v>
      </c>
      <c r="B12" s="47"/>
      <c r="C12" s="45">
        <v>0</v>
      </c>
      <c r="D12" s="51">
        <v>0</v>
      </c>
      <c r="E12" s="51">
        <v>0</v>
      </c>
      <c r="F12" s="51">
        <v>60</v>
      </c>
      <c r="G12" s="55">
        <v>0</v>
      </c>
      <c r="H12" s="56">
        <f t="shared" ref="H12:H15" si="14">E12-D12</f>
        <v>0</v>
      </c>
      <c r="I12" s="56">
        <f t="shared" si="7"/>
        <v>60</v>
      </c>
      <c r="J12" s="56">
        <f t="shared" ref="J12:J15" si="15">IF(H12&gt;=5,90*H12/F12,0)</f>
        <v>0</v>
      </c>
      <c r="K12" s="56">
        <f t="shared" ref="K12:K15" si="16">G12/100*J12</f>
        <v>0</v>
      </c>
      <c r="L12" s="56">
        <f t="shared" ref="L12:L15" si="17">ROUND((G12-K12),0)</f>
        <v>0</v>
      </c>
      <c r="M12" s="56">
        <f t="shared" ref="M12:M15" si="18">O12-N12</f>
        <v>0</v>
      </c>
      <c r="N12" s="56">
        <f t="shared" ref="N12:N15" si="19">ROUND((L12*C12),0)</f>
        <v>0</v>
      </c>
      <c r="O12" s="56">
        <f t="shared" ref="O12:O15" si="20">ROUND((C12*G12),0)</f>
        <v>0</v>
      </c>
    </row>
    <row r="13" spans="1:19">
      <c r="A13" s="46">
        <v>6</v>
      </c>
      <c r="B13" s="47"/>
      <c r="C13" s="45">
        <v>0</v>
      </c>
      <c r="D13" s="33">
        <v>0</v>
      </c>
      <c r="E13" s="33">
        <v>0</v>
      </c>
      <c r="F13" s="33">
        <v>60</v>
      </c>
      <c r="G13" s="57">
        <v>0</v>
      </c>
      <c r="H13" s="56">
        <f t="shared" si="14"/>
        <v>0</v>
      </c>
      <c r="I13" s="56">
        <f t="shared" si="7"/>
        <v>60</v>
      </c>
      <c r="J13" s="56">
        <f t="shared" si="15"/>
        <v>0</v>
      </c>
      <c r="K13" s="56">
        <f t="shared" si="16"/>
        <v>0</v>
      </c>
      <c r="L13" s="56">
        <f t="shared" si="17"/>
        <v>0</v>
      </c>
      <c r="M13" s="58">
        <f t="shared" si="18"/>
        <v>0</v>
      </c>
      <c r="N13" s="56">
        <f t="shared" si="19"/>
        <v>0</v>
      </c>
      <c r="O13" s="56">
        <f t="shared" si="20"/>
        <v>0</v>
      </c>
    </row>
    <row r="14" spans="1:19">
      <c r="A14" s="24">
        <v>7</v>
      </c>
      <c r="B14" s="47"/>
      <c r="C14" s="45">
        <v>0</v>
      </c>
      <c r="D14" s="33">
        <v>0</v>
      </c>
      <c r="E14" s="33">
        <v>0</v>
      </c>
      <c r="F14" s="33">
        <v>60</v>
      </c>
      <c r="G14" s="57">
        <v>0</v>
      </c>
      <c r="H14" s="56">
        <f t="shared" si="14"/>
        <v>0</v>
      </c>
      <c r="I14" s="56">
        <f t="shared" si="7"/>
        <v>60</v>
      </c>
      <c r="J14" s="56">
        <f t="shared" si="15"/>
        <v>0</v>
      </c>
      <c r="K14" s="56">
        <f t="shared" si="16"/>
        <v>0</v>
      </c>
      <c r="L14" s="56">
        <f t="shared" si="17"/>
        <v>0</v>
      </c>
      <c r="M14" s="58">
        <f t="shared" si="18"/>
        <v>0</v>
      </c>
      <c r="N14" s="56">
        <f t="shared" si="19"/>
        <v>0</v>
      </c>
      <c r="O14" s="56">
        <f t="shared" si="20"/>
        <v>0</v>
      </c>
    </row>
    <row r="15" spans="1:19">
      <c r="A15" s="46">
        <v>8</v>
      </c>
      <c r="B15" s="47"/>
      <c r="C15" s="45">
        <v>0</v>
      </c>
      <c r="D15" s="33">
        <v>0</v>
      </c>
      <c r="E15" s="33">
        <v>0</v>
      </c>
      <c r="F15" s="33">
        <v>60</v>
      </c>
      <c r="G15" s="57">
        <v>0</v>
      </c>
      <c r="H15" s="56">
        <f t="shared" si="14"/>
        <v>0</v>
      </c>
      <c r="I15" s="56">
        <f t="shared" si="7"/>
        <v>60</v>
      </c>
      <c r="J15" s="56">
        <f t="shared" si="15"/>
        <v>0</v>
      </c>
      <c r="K15" s="56">
        <f t="shared" si="16"/>
        <v>0</v>
      </c>
      <c r="L15" s="56">
        <f t="shared" si="17"/>
        <v>0</v>
      </c>
      <c r="M15" s="58">
        <f t="shared" si="18"/>
        <v>0</v>
      </c>
      <c r="N15" s="56">
        <f t="shared" si="19"/>
        <v>0</v>
      </c>
      <c r="O15" s="56">
        <f t="shared" si="20"/>
        <v>0</v>
      </c>
    </row>
    <row r="16" spans="1:19">
      <c r="A16" s="24"/>
      <c r="B16" s="48"/>
      <c r="C16" s="49"/>
      <c r="D16" s="49"/>
      <c r="E16" s="49"/>
      <c r="F16" s="6"/>
      <c r="G16" s="56"/>
      <c r="H16" s="56"/>
      <c r="I16" s="56"/>
      <c r="J16" s="59"/>
      <c r="K16" s="56"/>
      <c r="L16" s="59"/>
      <c r="M16" s="56">
        <f>SUM(M8:M15)</f>
        <v>8410</v>
      </c>
      <c r="N16" s="56">
        <f>SUM(N8:N15)</f>
        <v>26903590</v>
      </c>
      <c r="O16" s="56">
        <f>SUM(O8:O15)</f>
        <v>26912000</v>
      </c>
      <c r="R16" s="141">
        <f>SUM(R8:R15)</f>
        <v>21859166.875000004</v>
      </c>
    </row>
    <row r="17" spans="1:16">
      <c r="B17" s="10"/>
      <c r="C17" s="11"/>
      <c r="D17" s="11"/>
      <c r="E17" s="11"/>
      <c r="F17" s="12"/>
      <c r="G17" s="12"/>
      <c r="H17" s="12"/>
      <c r="I17" s="12"/>
      <c r="J17" s="11"/>
      <c r="K17" s="16"/>
      <c r="L17" s="17"/>
      <c r="M17" s="12"/>
      <c r="N17" s="27"/>
      <c r="O17" s="27"/>
    </row>
    <row r="18" spans="1:16">
      <c r="B18" s="78" t="s">
        <v>20</v>
      </c>
      <c r="C18" s="78"/>
      <c r="D18" s="11"/>
      <c r="E18" s="11"/>
      <c r="F18" s="12"/>
      <c r="G18" s="12"/>
      <c r="H18" s="12">
        <v>1500</v>
      </c>
      <c r="I18" s="12"/>
      <c r="J18" s="11"/>
      <c r="K18" s="16"/>
      <c r="L18" s="17"/>
      <c r="M18" s="66"/>
      <c r="N18" s="27"/>
      <c r="O18" s="27"/>
    </row>
    <row r="19" spans="1:16">
      <c r="B19" s="23" t="s">
        <v>19</v>
      </c>
      <c r="C19" s="60">
        <v>0</v>
      </c>
      <c r="D19" s="11"/>
      <c r="E19" s="11"/>
      <c r="F19" s="12"/>
      <c r="G19" s="12"/>
      <c r="H19" s="12">
        <f>H18*10.764</f>
        <v>16145.999999999998</v>
      </c>
      <c r="I19" s="12"/>
      <c r="J19" s="11"/>
      <c r="K19" s="16"/>
      <c r="L19" s="17"/>
      <c r="M19" s="66"/>
      <c r="N19" s="27"/>
      <c r="O19" s="27"/>
    </row>
    <row r="20" spans="1:16">
      <c r="B20" s="24" t="s">
        <v>6</v>
      </c>
      <c r="C20" s="53">
        <v>0</v>
      </c>
      <c r="D20" s="11"/>
      <c r="E20" s="11"/>
      <c r="F20" s="12"/>
      <c r="G20" s="12"/>
      <c r="H20" s="12"/>
      <c r="I20" s="12"/>
      <c r="J20" s="11"/>
      <c r="K20" s="16"/>
      <c r="L20" s="17"/>
      <c r="M20" s="12"/>
      <c r="N20" s="27"/>
      <c r="O20" s="27"/>
    </row>
    <row r="21" spans="1:16">
      <c r="B21" s="24" t="s">
        <v>7</v>
      </c>
      <c r="C21" s="58">
        <f>ROUND((C19*C20),0)</f>
        <v>0</v>
      </c>
      <c r="D21" s="11"/>
      <c r="E21" s="11"/>
      <c r="F21" s="12"/>
      <c r="G21" s="12"/>
      <c r="H21" s="12"/>
      <c r="I21" s="12"/>
      <c r="J21" s="11"/>
      <c r="K21" s="16"/>
      <c r="L21" s="17"/>
      <c r="M21" s="12"/>
      <c r="N21" s="27">
        <f>O32-M28</f>
        <v>39.279999999998836</v>
      </c>
      <c r="O21" s="27">
        <f>M28-O36</f>
        <v>1451.2110800000082</v>
      </c>
    </row>
    <row r="22" spans="1:16">
      <c r="B22" s="10"/>
      <c r="C22" s="11"/>
      <c r="D22" s="11"/>
      <c r="E22" s="11"/>
      <c r="F22" s="12"/>
      <c r="G22" s="12">
        <v>800</v>
      </c>
      <c r="H22" s="12"/>
      <c r="I22" s="12"/>
      <c r="J22" s="11"/>
      <c r="K22" s="16"/>
      <c r="L22" s="17"/>
      <c r="M22" s="12"/>
      <c r="N22" s="27"/>
      <c r="O22" s="27"/>
    </row>
    <row r="23" spans="1:16" ht="22.5" customHeight="1">
      <c r="B23" s="79" t="s">
        <v>15</v>
      </c>
      <c r="C23" s="80"/>
      <c r="D23" s="11"/>
      <c r="E23" s="11"/>
      <c r="F23" s="12"/>
      <c r="G23" s="12">
        <f>G22*10.764</f>
        <v>8611.1999999999989</v>
      </c>
      <c r="H23" s="12"/>
      <c r="I23" s="12"/>
      <c r="J23" s="11"/>
      <c r="K23" s="12"/>
      <c r="L23" s="81" t="s">
        <v>66</v>
      </c>
      <c r="M23" s="81"/>
      <c r="N23" s="81"/>
      <c r="O23" s="81"/>
      <c r="P23" s="81"/>
    </row>
    <row r="24" spans="1:16" ht="17.25" thickBot="1">
      <c r="B24" s="23" t="s">
        <v>11</v>
      </c>
      <c r="C24" s="60">
        <v>0</v>
      </c>
      <c r="E24" s="28"/>
      <c r="F24" s="28"/>
      <c r="G24" s="29"/>
      <c r="H24" s="14"/>
      <c r="I24" s="14"/>
      <c r="L24" s="82"/>
      <c r="M24" s="83"/>
      <c r="N24" s="84"/>
      <c r="O24" s="84"/>
      <c r="P24" s="85"/>
    </row>
    <row r="25" spans="1:16" ht="17.25" thickBot="1">
      <c r="B25" s="24" t="s">
        <v>6</v>
      </c>
      <c r="C25" s="53">
        <v>0</v>
      </c>
      <c r="D25" s="30"/>
      <c r="E25" s="22"/>
      <c r="L25" s="86"/>
      <c r="M25" s="87" t="s">
        <v>63</v>
      </c>
      <c r="N25" s="87"/>
      <c r="O25" s="87"/>
      <c r="P25" s="88"/>
    </row>
    <row r="26" spans="1:16" ht="17.25" thickBot="1">
      <c r="B26" s="24" t="s">
        <v>7</v>
      </c>
      <c r="C26" s="58">
        <f>ROUND((C24*C25),0)</f>
        <v>0</v>
      </c>
      <c r="D26" s="9"/>
      <c r="E26" s="9"/>
      <c r="L26" s="86"/>
      <c r="M26" s="89">
        <v>43996</v>
      </c>
      <c r="N26" s="89">
        <f>M26/10.764</f>
        <v>4087.328130806392</v>
      </c>
      <c r="O26" s="90">
        <f>N26/10000</f>
        <v>0.40873281308063919</v>
      </c>
      <c r="P26" s="91"/>
    </row>
    <row r="27" spans="1:16" ht="17.25" thickBot="1">
      <c r="B27" s="41"/>
      <c r="C27" s="19"/>
      <c r="D27" s="9"/>
      <c r="E27" s="9"/>
      <c r="L27" s="86"/>
      <c r="M27" s="89">
        <v>10000</v>
      </c>
      <c r="N27" s="89">
        <f>M27/10.764</f>
        <v>929.02266815310304</v>
      </c>
      <c r="O27" s="90">
        <f>N27/10000</f>
        <v>9.2902266815310303E-2</v>
      </c>
      <c r="P27" s="91"/>
    </row>
    <row r="28" spans="1:16" ht="17.25" thickBot="1">
      <c r="C28" s="9" t="s">
        <v>22</v>
      </c>
      <c r="D28" s="9" t="s">
        <v>45</v>
      </c>
      <c r="E28" s="9"/>
      <c r="F28" s="21"/>
      <c r="I28" s="14"/>
      <c r="J28" s="14"/>
      <c r="K28" s="1"/>
      <c r="L28" s="86"/>
      <c r="M28" s="92">
        <f>SUM(M26:M27)</f>
        <v>53996</v>
      </c>
      <c r="N28" s="92">
        <f>SUM(N26:N27)</f>
        <v>5016.3507989594946</v>
      </c>
      <c r="O28" s="90">
        <f>N28/10000</f>
        <v>0.50163507989594947</v>
      </c>
      <c r="P28" s="91"/>
    </row>
    <row r="29" spans="1:16" ht="17.25" thickBot="1">
      <c r="B29" s="2" t="s">
        <v>13</v>
      </c>
      <c r="C29" s="67">
        <f>C4</f>
        <v>86344000</v>
      </c>
      <c r="D29" s="54">
        <f>C4</f>
        <v>86344000</v>
      </c>
      <c r="E29" s="19"/>
      <c r="F29" s="19"/>
      <c r="G29" s="19"/>
      <c r="H29" s="20"/>
      <c r="I29" s="20"/>
      <c r="L29" s="93"/>
      <c r="M29" s="94" t="s">
        <v>64</v>
      </c>
      <c r="N29" s="95"/>
      <c r="O29" s="96"/>
      <c r="P29" s="93"/>
    </row>
    <row r="30" spans="1:16" ht="17.25" thickBot="1">
      <c r="B30" s="2" t="s">
        <v>14</v>
      </c>
      <c r="C30" s="67">
        <f>N16</f>
        <v>26903590</v>
      </c>
      <c r="D30" s="54">
        <f>R16</f>
        <v>21859166.875000004</v>
      </c>
      <c r="E30" s="19"/>
      <c r="L30" s="86"/>
      <c r="M30" s="97" t="s">
        <v>47</v>
      </c>
      <c r="N30" s="97" t="s">
        <v>51</v>
      </c>
      <c r="O30" s="98" t="s">
        <v>49</v>
      </c>
      <c r="P30" s="91"/>
    </row>
    <row r="31" spans="1:16" ht="17.25" thickBot="1">
      <c r="B31" s="2" t="s">
        <v>21</v>
      </c>
      <c r="C31" s="67">
        <f>C21</f>
        <v>0</v>
      </c>
      <c r="D31" s="54"/>
      <c r="E31" s="19"/>
      <c r="L31" s="86"/>
      <c r="M31" s="99" t="s">
        <v>48</v>
      </c>
      <c r="N31" s="99">
        <v>0.502</v>
      </c>
      <c r="O31" s="100">
        <f>0.502*10000</f>
        <v>5020</v>
      </c>
      <c r="P31" s="91"/>
    </row>
    <row r="32" spans="1:16" ht="17.25" thickBot="1">
      <c r="A32" s="1"/>
      <c r="B32" s="2" t="s">
        <v>12</v>
      </c>
      <c r="C32" s="67">
        <f>C26</f>
        <v>0</v>
      </c>
      <c r="D32" s="54"/>
      <c r="E32" s="19"/>
      <c r="L32" s="86"/>
      <c r="M32" s="97"/>
      <c r="N32" s="97"/>
      <c r="O32" s="98">
        <f>O31*10.764</f>
        <v>54035.28</v>
      </c>
      <c r="P32" s="91"/>
    </row>
    <row r="33" spans="1:16">
      <c r="A33" s="1"/>
      <c r="B33" s="13" t="s">
        <v>8</v>
      </c>
      <c r="C33" s="68">
        <f>C29+C30+C31+C32</f>
        <v>113247590</v>
      </c>
      <c r="D33" s="65">
        <f>SUM(D29:D32)</f>
        <v>108203166.875</v>
      </c>
      <c r="L33" s="86"/>
      <c r="M33" s="101" t="s">
        <v>65</v>
      </c>
      <c r="N33" s="102"/>
      <c r="O33" s="102"/>
      <c r="P33" s="91"/>
    </row>
    <row r="34" spans="1:16" ht="21" customHeight="1" thickBot="1">
      <c r="A34" s="1"/>
      <c r="B34" s="13" t="s">
        <v>9</v>
      </c>
      <c r="C34" s="68">
        <f>MROUND(C33*95%,1)</f>
        <v>107585211</v>
      </c>
      <c r="D34" s="61">
        <f>MROUND(D33*95%,1)</f>
        <v>102793009</v>
      </c>
      <c r="L34" s="86"/>
      <c r="M34" s="103"/>
      <c r="N34" s="104" t="s">
        <v>52</v>
      </c>
      <c r="O34" s="105" t="s">
        <v>50</v>
      </c>
      <c r="P34" s="91"/>
    </row>
    <row r="35" spans="1:16" ht="21.75" customHeight="1" thickBot="1">
      <c r="A35" s="1"/>
      <c r="B35" s="13" t="s">
        <v>10</v>
      </c>
      <c r="C35" s="68">
        <f>MROUND(C33*80%,1)</f>
        <v>90598072</v>
      </c>
      <c r="D35" s="61">
        <f>MROUND(D33*80%,1)</f>
        <v>86562534</v>
      </c>
      <c r="L35" s="86"/>
      <c r="M35" s="103"/>
      <c r="N35" s="106"/>
      <c r="O35" s="100">
        <v>4881.53</v>
      </c>
      <c r="P35" s="91"/>
    </row>
    <row r="36" spans="1:16" ht="17.25" thickBot="1">
      <c r="A36" s="1"/>
      <c r="B36" s="2" t="s">
        <v>24</v>
      </c>
      <c r="C36" s="67">
        <f>O16</f>
        <v>26912000</v>
      </c>
      <c r="D36" s="31"/>
      <c r="H36" s="70">
        <v>0.502</v>
      </c>
      <c r="I36" s="7">
        <f>H36*10000</f>
        <v>5020</v>
      </c>
      <c r="L36" s="86"/>
      <c r="M36" s="107"/>
      <c r="N36" s="98" t="s">
        <v>40</v>
      </c>
      <c r="O36" s="98">
        <f>O35*10.764</f>
        <v>52544.788919999992</v>
      </c>
      <c r="P36" s="91"/>
    </row>
    <row r="37" spans="1:16" ht="17.25" thickBot="1">
      <c r="A37" s="1"/>
      <c r="B37" s="13" t="s">
        <v>41</v>
      </c>
      <c r="C37" s="69">
        <f>MROUND(C36*0.85,1)</f>
        <v>22875200</v>
      </c>
      <c r="H37" s="70">
        <v>0.502</v>
      </c>
      <c r="I37" s="7">
        <f t="shared" ref="I37:I38" si="21">H37*10000</f>
        <v>5020</v>
      </c>
      <c r="L37" s="108"/>
      <c r="M37" s="109"/>
      <c r="N37" s="110"/>
      <c r="O37" s="111"/>
      <c r="P37" s="112"/>
    </row>
    <row r="38" spans="1:16" ht="17.25" thickBot="1">
      <c r="A38" s="1"/>
      <c r="H38" s="34">
        <f>SUM(H36:H37)</f>
        <v>1.004</v>
      </c>
      <c r="I38" s="7">
        <f t="shared" si="21"/>
        <v>10040</v>
      </c>
      <c r="L38" s="116" t="s">
        <v>55</v>
      </c>
      <c r="M38" s="117"/>
      <c r="N38" s="117"/>
      <c r="O38" s="118"/>
      <c r="P38" s="113"/>
    </row>
    <row r="39" spans="1:16" ht="18" thickTop="1" thickBot="1">
      <c r="A39" s="1"/>
      <c r="L39" s="121" t="s">
        <v>67</v>
      </c>
      <c r="M39" s="122" t="s">
        <v>68</v>
      </c>
      <c r="N39" s="122" t="s">
        <v>49</v>
      </c>
      <c r="O39" s="122" t="s">
        <v>69</v>
      </c>
      <c r="P39" s="113"/>
    </row>
    <row r="40" spans="1:16" ht="18" thickTop="1" thickBot="1">
      <c r="A40" s="1"/>
      <c r="L40" s="119" t="s">
        <v>53</v>
      </c>
      <c r="M40" s="120">
        <v>0.4022</v>
      </c>
      <c r="N40" s="120">
        <f>M40*10000</f>
        <v>4022</v>
      </c>
      <c r="O40" s="120">
        <f>N40*10.764</f>
        <v>43292.807999999997</v>
      </c>
      <c r="P40" s="113"/>
    </row>
    <row r="41" spans="1:16" ht="17.25" thickBot="1">
      <c r="A41" s="1"/>
      <c r="F41" s="71" t="s">
        <v>27</v>
      </c>
      <c r="G41" s="72" t="s">
        <v>56</v>
      </c>
      <c r="L41" s="114" t="s">
        <v>54</v>
      </c>
      <c r="M41" s="115">
        <v>9.98E-2</v>
      </c>
      <c r="N41" s="115">
        <f t="shared" ref="N41:N42" si="22">M41*10000</f>
        <v>998</v>
      </c>
      <c r="O41" s="115">
        <f t="shared" ref="O41:O42" si="23">N41*10.764</f>
        <v>10742.472</v>
      </c>
      <c r="P41" s="113"/>
    </row>
    <row r="42" spans="1:16" ht="17.25" thickBot="1">
      <c r="A42" s="1"/>
      <c r="F42" s="73" t="s">
        <v>57</v>
      </c>
      <c r="G42" s="74">
        <v>10375</v>
      </c>
      <c r="L42" s="115"/>
      <c r="M42" s="115">
        <f>SUM(M40:M41)</f>
        <v>0.502</v>
      </c>
      <c r="N42" s="115">
        <f t="shared" si="22"/>
        <v>5020</v>
      </c>
      <c r="O42" s="115">
        <f t="shared" si="23"/>
        <v>54035.28</v>
      </c>
    </row>
    <row r="43" spans="1:16" ht="17.25" thickBot="1">
      <c r="A43" s="1"/>
      <c r="F43" s="73" t="s">
        <v>58</v>
      </c>
      <c r="G43" s="74">
        <v>8525</v>
      </c>
      <c r="L43" s="36"/>
      <c r="O43" s="35"/>
    </row>
    <row r="44" spans="1:16" ht="17.25" thickBot="1">
      <c r="A44" s="1"/>
      <c r="F44" s="75" t="s">
        <v>59</v>
      </c>
      <c r="G44" s="76">
        <f>SUM(G42:G43)</f>
        <v>18900</v>
      </c>
      <c r="L44" s="36"/>
      <c r="O44" s="35"/>
    </row>
    <row r="45" spans="1:16" ht="17.25" thickBot="1">
      <c r="A45" s="1"/>
      <c r="F45" s="73" t="s">
        <v>60</v>
      </c>
      <c r="G45" s="74">
        <v>3421</v>
      </c>
      <c r="L45" s="36"/>
      <c r="O45" s="35"/>
    </row>
    <row r="46" spans="1:16" ht="17.25" thickBot="1">
      <c r="A46" s="1"/>
      <c r="F46" s="73" t="s">
        <v>61</v>
      </c>
      <c r="G46" s="74">
        <v>1721</v>
      </c>
    </row>
    <row r="47" spans="1:16" ht="17.25" thickBot="1">
      <c r="A47" s="1"/>
      <c r="F47" s="75" t="s">
        <v>62</v>
      </c>
      <c r="G47" s="77">
        <f>SUM(G45:G46)</f>
        <v>5142</v>
      </c>
    </row>
    <row r="48" spans="1:16">
      <c r="A48" s="1"/>
      <c r="B48" s="1"/>
    </row>
    <row r="49" spans="1:10">
      <c r="A49" s="1"/>
      <c r="B49" s="1"/>
    </row>
    <row r="50" spans="1:10">
      <c r="A50" s="1"/>
      <c r="B50" s="1"/>
    </row>
    <row r="51" spans="1:10">
      <c r="A51" s="1"/>
      <c r="B51" s="1"/>
    </row>
    <row r="52" spans="1:10">
      <c r="A52" s="1"/>
      <c r="B52" s="1"/>
    </row>
    <row r="53" spans="1:10">
      <c r="A53" s="1"/>
      <c r="B53" s="1"/>
    </row>
    <row r="54" spans="1:10">
      <c r="A54" s="1"/>
      <c r="B54" s="1"/>
      <c r="F54" s="37"/>
      <c r="G54" s="37"/>
      <c r="H54" s="37"/>
      <c r="I54" s="37"/>
      <c r="J54" s="13"/>
    </row>
    <row r="55" spans="1:10">
      <c r="A55" s="1"/>
      <c r="B55" s="1"/>
      <c r="F55" s="35"/>
      <c r="G55" s="1"/>
      <c r="H55" s="35"/>
      <c r="I55" s="35"/>
    </row>
    <row r="56" spans="1:10">
      <c r="A56" s="1"/>
      <c r="B56" s="1"/>
      <c r="F56" s="35"/>
      <c r="G56" s="35"/>
      <c r="H56" s="38"/>
      <c r="I56" s="38"/>
    </row>
    <row r="57" spans="1:10">
      <c r="A57" s="1"/>
      <c r="B57" s="1"/>
      <c r="F57" s="35"/>
      <c r="G57" s="35"/>
      <c r="H57" s="35"/>
      <c r="I57" s="35"/>
    </row>
    <row r="58" spans="1:10">
      <c r="A58" s="1"/>
      <c r="B58" s="1"/>
      <c r="F58" s="35"/>
      <c r="G58" s="39"/>
      <c r="H58" s="35"/>
      <c r="I58" s="35"/>
    </row>
    <row r="59" spans="1:10">
      <c r="A59" s="1"/>
      <c r="B59" s="1"/>
      <c r="F59" s="35"/>
      <c r="G59" s="35"/>
      <c r="H59" s="35"/>
      <c r="I59" s="35"/>
    </row>
    <row r="60" spans="1:10">
      <c r="A60" s="1"/>
      <c r="B60" s="1"/>
      <c r="F60" s="35"/>
      <c r="G60" s="35"/>
      <c r="H60" s="35"/>
      <c r="I60" s="35"/>
    </row>
    <row r="61" spans="1:10">
      <c r="A61" s="1"/>
      <c r="B61" s="1"/>
      <c r="F61" s="35"/>
      <c r="G61" s="35"/>
      <c r="H61" s="35"/>
      <c r="I61" s="35"/>
    </row>
    <row r="62" spans="1:10">
      <c r="A62" s="1"/>
      <c r="B62" s="1"/>
      <c r="F62" s="35"/>
      <c r="G62" s="35"/>
      <c r="H62" s="35"/>
      <c r="I62" s="35"/>
    </row>
    <row r="63" spans="1:10">
      <c r="A63" s="1"/>
      <c r="B63" s="1"/>
      <c r="F63" s="35"/>
      <c r="G63" s="35"/>
      <c r="H63" s="35"/>
      <c r="I63" s="35"/>
    </row>
    <row r="64" spans="1:10">
      <c r="A64" s="1"/>
      <c r="B64" s="1"/>
      <c r="F64" s="35"/>
      <c r="G64" s="35"/>
      <c r="H64" s="35"/>
      <c r="I64" s="35"/>
    </row>
    <row r="65" spans="1:6">
      <c r="A65" s="1"/>
      <c r="B65" s="1"/>
    </row>
    <row r="66" spans="1:6">
      <c r="A66" s="1"/>
      <c r="B66" s="1"/>
    </row>
    <row r="67" spans="1:6">
      <c r="A67" s="1"/>
      <c r="B67" s="1"/>
    </row>
    <row r="68" spans="1:6">
      <c r="A68" s="1"/>
      <c r="B68" s="1"/>
    </row>
    <row r="69" spans="1:6">
      <c r="A69" s="1"/>
      <c r="B69" s="1"/>
    </row>
    <row r="70" spans="1:6">
      <c r="A70" s="1"/>
      <c r="B70" s="1"/>
      <c r="F70" s="40"/>
    </row>
    <row r="71" spans="1:6">
      <c r="A71" s="1"/>
      <c r="B71" s="1"/>
      <c r="F71" s="40"/>
    </row>
    <row r="72" spans="1:6">
      <c r="A72" s="1"/>
      <c r="B72" s="1"/>
      <c r="F72" s="40"/>
    </row>
    <row r="73" spans="1:6">
      <c r="A73" s="1"/>
      <c r="B73" s="1"/>
      <c r="F73" s="40"/>
    </row>
    <row r="74" spans="1:6">
      <c r="A74" s="1"/>
      <c r="B74" s="1"/>
      <c r="F74" s="40"/>
    </row>
    <row r="75" spans="1:6">
      <c r="A75" s="1"/>
      <c r="B75" s="1"/>
      <c r="F75" s="40"/>
    </row>
    <row r="76" spans="1:6">
      <c r="A76" s="1"/>
      <c r="B76" s="1"/>
      <c r="F76" s="40"/>
    </row>
    <row r="77" spans="1:6">
      <c r="A77" s="1"/>
      <c r="B77" s="1"/>
      <c r="F77" s="40"/>
    </row>
    <row r="78" spans="1:6">
      <c r="A78" s="1"/>
      <c r="B78" s="1"/>
      <c r="F78" s="40"/>
    </row>
    <row r="79" spans="1:6">
      <c r="A79" s="1"/>
      <c r="B79" s="1"/>
      <c r="F79" s="40"/>
    </row>
    <row r="80" spans="1:6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  <row r="169" spans="1:2">
      <c r="A169" s="1"/>
      <c r="B169" s="1"/>
    </row>
    <row r="170" spans="1:2">
      <c r="A170" s="1"/>
      <c r="B170" s="1"/>
    </row>
    <row r="171" spans="1:2">
      <c r="A171" s="1"/>
      <c r="B171" s="1"/>
    </row>
    <row r="172" spans="1:2">
      <c r="A172" s="1"/>
      <c r="B172" s="1"/>
    </row>
    <row r="173" spans="1:2">
      <c r="A173" s="1"/>
      <c r="B173" s="1"/>
    </row>
  </sheetData>
  <mergeCells count="8">
    <mergeCell ref="N34:N35"/>
    <mergeCell ref="L38:O38"/>
    <mergeCell ref="M33:O33"/>
    <mergeCell ref="M25:O25"/>
    <mergeCell ref="L23:P23"/>
    <mergeCell ref="M29:O29"/>
    <mergeCell ref="B18:C18"/>
    <mergeCell ref="B23:C2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24"/>
  <sheetViews>
    <sheetView workbookViewId="0">
      <selection activeCell="J16" sqref="J16"/>
    </sheetView>
  </sheetViews>
  <sheetFormatPr defaultRowHeight="15"/>
  <cols>
    <col min="1" max="1" width="9.140625" style="124"/>
    <col min="2" max="2" width="36.140625" style="125" customWidth="1"/>
    <col min="3" max="3" width="13.85546875" style="126" customWidth="1"/>
    <col min="4" max="4" width="9.140625" style="124"/>
    <col min="5" max="6" width="13" style="124" customWidth="1"/>
    <col min="7" max="257" width="9.140625" style="124"/>
    <col min="258" max="258" width="36.140625" style="124" customWidth="1"/>
    <col min="259" max="259" width="13.85546875" style="124" customWidth="1"/>
    <col min="260" max="513" width="9.140625" style="124"/>
    <col min="514" max="514" width="36.140625" style="124" customWidth="1"/>
    <col min="515" max="515" width="13.85546875" style="124" customWidth="1"/>
    <col min="516" max="769" width="9.140625" style="124"/>
    <col min="770" max="770" width="36.140625" style="124" customWidth="1"/>
    <col min="771" max="771" width="13.85546875" style="124" customWidth="1"/>
    <col min="772" max="1025" width="9.140625" style="124"/>
    <col min="1026" max="1026" width="36.140625" style="124" customWidth="1"/>
    <col min="1027" max="1027" width="13.85546875" style="124" customWidth="1"/>
    <col min="1028" max="1281" width="9.140625" style="124"/>
    <col min="1282" max="1282" width="36.140625" style="124" customWidth="1"/>
    <col min="1283" max="1283" width="13.85546875" style="124" customWidth="1"/>
    <col min="1284" max="1537" width="9.140625" style="124"/>
    <col min="1538" max="1538" width="36.140625" style="124" customWidth="1"/>
    <col min="1539" max="1539" width="13.85546875" style="124" customWidth="1"/>
    <col min="1540" max="1793" width="9.140625" style="124"/>
    <col min="1794" max="1794" width="36.140625" style="124" customWidth="1"/>
    <col min="1795" max="1795" width="13.85546875" style="124" customWidth="1"/>
    <col min="1796" max="2049" width="9.140625" style="124"/>
    <col min="2050" max="2050" width="36.140625" style="124" customWidth="1"/>
    <col min="2051" max="2051" width="13.85546875" style="124" customWidth="1"/>
    <col min="2052" max="2305" width="9.140625" style="124"/>
    <col min="2306" max="2306" width="36.140625" style="124" customWidth="1"/>
    <col min="2307" max="2307" width="13.85546875" style="124" customWidth="1"/>
    <col min="2308" max="2561" width="9.140625" style="124"/>
    <col min="2562" max="2562" width="36.140625" style="124" customWidth="1"/>
    <col min="2563" max="2563" width="13.85546875" style="124" customWidth="1"/>
    <col min="2564" max="2817" width="9.140625" style="124"/>
    <col min="2818" max="2818" width="36.140625" style="124" customWidth="1"/>
    <col min="2819" max="2819" width="13.85546875" style="124" customWidth="1"/>
    <col min="2820" max="3073" width="9.140625" style="124"/>
    <col min="3074" max="3074" width="36.140625" style="124" customWidth="1"/>
    <col min="3075" max="3075" width="13.85546875" style="124" customWidth="1"/>
    <col min="3076" max="3329" width="9.140625" style="124"/>
    <col min="3330" max="3330" width="36.140625" style="124" customWidth="1"/>
    <col min="3331" max="3331" width="13.85546875" style="124" customWidth="1"/>
    <col min="3332" max="3585" width="9.140625" style="124"/>
    <col min="3586" max="3586" width="36.140625" style="124" customWidth="1"/>
    <col min="3587" max="3587" width="13.85546875" style="124" customWidth="1"/>
    <col min="3588" max="3841" width="9.140625" style="124"/>
    <col min="3842" max="3842" width="36.140625" style="124" customWidth="1"/>
    <col min="3843" max="3843" width="13.85546875" style="124" customWidth="1"/>
    <col min="3844" max="4097" width="9.140625" style="124"/>
    <col min="4098" max="4098" width="36.140625" style="124" customWidth="1"/>
    <col min="4099" max="4099" width="13.85546875" style="124" customWidth="1"/>
    <col min="4100" max="4353" width="9.140625" style="124"/>
    <col min="4354" max="4354" width="36.140625" style="124" customWidth="1"/>
    <col min="4355" max="4355" width="13.85546875" style="124" customWidth="1"/>
    <col min="4356" max="4609" width="9.140625" style="124"/>
    <col min="4610" max="4610" width="36.140625" style="124" customWidth="1"/>
    <col min="4611" max="4611" width="13.85546875" style="124" customWidth="1"/>
    <col min="4612" max="4865" width="9.140625" style="124"/>
    <col min="4866" max="4866" width="36.140625" style="124" customWidth="1"/>
    <col min="4867" max="4867" width="13.85546875" style="124" customWidth="1"/>
    <col min="4868" max="5121" width="9.140625" style="124"/>
    <col min="5122" max="5122" width="36.140625" style="124" customWidth="1"/>
    <col min="5123" max="5123" width="13.85546875" style="124" customWidth="1"/>
    <col min="5124" max="5377" width="9.140625" style="124"/>
    <col min="5378" max="5378" width="36.140625" style="124" customWidth="1"/>
    <col min="5379" max="5379" width="13.85546875" style="124" customWidth="1"/>
    <col min="5380" max="5633" width="9.140625" style="124"/>
    <col min="5634" max="5634" width="36.140625" style="124" customWidth="1"/>
    <col min="5635" max="5635" width="13.85546875" style="124" customWidth="1"/>
    <col min="5636" max="5889" width="9.140625" style="124"/>
    <col min="5890" max="5890" width="36.140625" style="124" customWidth="1"/>
    <col min="5891" max="5891" width="13.85546875" style="124" customWidth="1"/>
    <col min="5892" max="6145" width="9.140625" style="124"/>
    <col min="6146" max="6146" width="36.140625" style="124" customWidth="1"/>
    <col min="6147" max="6147" width="13.85546875" style="124" customWidth="1"/>
    <col min="6148" max="6401" width="9.140625" style="124"/>
    <col min="6402" max="6402" width="36.140625" style="124" customWidth="1"/>
    <col min="6403" max="6403" width="13.85546875" style="124" customWidth="1"/>
    <col min="6404" max="6657" width="9.140625" style="124"/>
    <col min="6658" max="6658" width="36.140625" style="124" customWidth="1"/>
    <col min="6659" max="6659" width="13.85546875" style="124" customWidth="1"/>
    <col min="6660" max="6913" width="9.140625" style="124"/>
    <col min="6914" max="6914" width="36.140625" style="124" customWidth="1"/>
    <col min="6915" max="6915" width="13.85546875" style="124" customWidth="1"/>
    <col min="6916" max="7169" width="9.140625" style="124"/>
    <col min="7170" max="7170" width="36.140625" style="124" customWidth="1"/>
    <col min="7171" max="7171" width="13.85546875" style="124" customWidth="1"/>
    <col min="7172" max="7425" width="9.140625" style="124"/>
    <col min="7426" max="7426" width="36.140625" style="124" customWidth="1"/>
    <col min="7427" max="7427" width="13.85546875" style="124" customWidth="1"/>
    <col min="7428" max="7681" width="9.140625" style="124"/>
    <col min="7682" max="7682" width="36.140625" style="124" customWidth="1"/>
    <col min="7683" max="7683" width="13.85546875" style="124" customWidth="1"/>
    <col min="7684" max="7937" width="9.140625" style="124"/>
    <col min="7938" max="7938" width="36.140625" style="124" customWidth="1"/>
    <col min="7939" max="7939" width="13.85546875" style="124" customWidth="1"/>
    <col min="7940" max="8193" width="9.140625" style="124"/>
    <col min="8194" max="8194" width="36.140625" style="124" customWidth="1"/>
    <col min="8195" max="8195" width="13.85546875" style="124" customWidth="1"/>
    <col min="8196" max="8449" width="9.140625" style="124"/>
    <col min="8450" max="8450" width="36.140625" style="124" customWidth="1"/>
    <col min="8451" max="8451" width="13.85546875" style="124" customWidth="1"/>
    <col min="8452" max="8705" width="9.140625" style="124"/>
    <col min="8706" max="8706" width="36.140625" style="124" customWidth="1"/>
    <col min="8707" max="8707" width="13.85546875" style="124" customWidth="1"/>
    <col min="8708" max="8961" width="9.140625" style="124"/>
    <col min="8962" max="8962" width="36.140625" style="124" customWidth="1"/>
    <col min="8963" max="8963" width="13.85546875" style="124" customWidth="1"/>
    <col min="8964" max="9217" width="9.140625" style="124"/>
    <col min="9218" max="9218" width="36.140625" style="124" customWidth="1"/>
    <col min="9219" max="9219" width="13.85546875" style="124" customWidth="1"/>
    <col min="9220" max="9473" width="9.140625" style="124"/>
    <col min="9474" max="9474" width="36.140625" style="124" customWidth="1"/>
    <col min="9475" max="9475" width="13.85546875" style="124" customWidth="1"/>
    <col min="9476" max="9729" width="9.140625" style="124"/>
    <col min="9730" max="9730" width="36.140625" style="124" customWidth="1"/>
    <col min="9731" max="9731" width="13.85546875" style="124" customWidth="1"/>
    <col min="9732" max="9985" width="9.140625" style="124"/>
    <col min="9986" max="9986" width="36.140625" style="124" customWidth="1"/>
    <col min="9987" max="9987" width="13.85546875" style="124" customWidth="1"/>
    <col min="9988" max="10241" width="9.140625" style="124"/>
    <col min="10242" max="10242" width="36.140625" style="124" customWidth="1"/>
    <col min="10243" max="10243" width="13.85546875" style="124" customWidth="1"/>
    <col min="10244" max="10497" width="9.140625" style="124"/>
    <col min="10498" max="10498" width="36.140625" style="124" customWidth="1"/>
    <col min="10499" max="10499" width="13.85546875" style="124" customWidth="1"/>
    <col min="10500" max="10753" width="9.140625" style="124"/>
    <col min="10754" max="10754" width="36.140625" style="124" customWidth="1"/>
    <col min="10755" max="10755" width="13.85546875" style="124" customWidth="1"/>
    <col min="10756" max="11009" width="9.140625" style="124"/>
    <col min="11010" max="11010" width="36.140625" style="124" customWidth="1"/>
    <col min="11011" max="11011" width="13.85546875" style="124" customWidth="1"/>
    <col min="11012" max="11265" width="9.140625" style="124"/>
    <col min="11266" max="11266" width="36.140625" style="124" customWidth="1"/>
    <col min="11267" max="11267" width="13.85546875" style="124" customWidth="1"/>
    <col min="11268" max="11521" width="9.140625" style="124"/>
    <col min="11522" max="11522" width="36.140625" style="124" customWidth="1"/>
    <col min="11523" max="11523" width="13.85546875" style="124" customWidth="1"/>
    <col min="11524" max="11777" width="9.140625" style="124"/>
    <col min="11778" max="11778" width="36.140625" style="124" customWidth="1"/>
    <col min="11779" max="11779" width="13.85546875" style="124" customWidth="1"/>
    <col min="11780" max="12033" width="9.140625" style="124"/>
    <col min="12034" max="12034" width="36.140625" style="124" customWidth="1"/>
    <col min="12035" max="12035" width="13.85546875" style="124" customWidth="1"/>
    <col min="12036" max="12289" width="9.140625" style="124"/>
    <col min="12290" max="12290" width="36.140625" style="124" customWidth="1"/>
    <col min="12291" max="12291" width="13.85546875" style="124" customWidth="1"/>
    <col min="12292" max="12545" width="9.140625" style="124"/>
    <col min="12546" max="12546" width="36.140625" style="124" customWidth="1"/>
    <col min="12547" max="12547" width="13.85546875" style="124" customWidth="1"/>
    <col min="12548" max="12801" width="9.140625" style="124"/>
    <col min="12802" max="12802" width="36.140625" style="124" customWidth="1"/>
    <col min="12803" max="12803" width="13.85546875" style="124" customWidth="1"/>
    <col min="12804" max="13057" width="9.140625" style="124"/>
    <col min="13058" max="13058" width="36.140625" style="124" customWidth="1"/>
    <col min="13059" max="13059" width="13.85546875" style="124" customWidth="1"/>
    <col min="13060" max="13313" width="9.140625" style="124"/>
    <col min="13314" max="13314" width="36.140625" style="124" customWidth="1"/>
    <col min="13315" max="13315" width="13.85546875" style="124" customWidth="1"/>
    <col min="13316" max="13569" width="9.140625" style="124"/>
    <col min="13570" max="13570" width="36.140625" style="124" customWidth="1"/>
    <col min="13571" max="13571" width="13.85546875" style="124" customWidth="1"/>
    <col min="13572" max="13825" width="9.140625" style="124"/>
    <col min="13826" max="13826" width="36.140625" style="124" customWidth="1"/>
    <col min="13827" max="13827" width="13.85546875" style="124" customWidth="1"/>
    <col min="13828" max="14081" width="9.140625" style="124"/>
    <col min="14082" max="14082" width="36.140625" style="124" customWidth="1"/>
    <col min="14083" max="14083" width="13.85546875" style="124" customWidth="1"/>
    <col min="14084" max="14337" width="9.140625" style="124"/>
    <col min="14338" max="14338" width="36.140625" style="124" customWidth="1"/>
    <col min="14339" max="14339" width="13.85546875" style="124" customWidth="1"/>
    <col min="14340" max="14593" width="9.140625" style="124"/>
    <col min="14594" max="14594" width="36.140625" style="124" customWidth="1"/>
    <col min="14595" max="14595" width="13.85546875" style="124" customWidth="1"/>
    <col min="14596" max="14849" width="9.140625" style="124"/>
    <col min="14850" max="14850" width="36.140625" style="124" customWidth="1"/>
    <col min="14851" max="14851" width="13.85546875" style="124" customWidth="1"/>
    <col min="14852" max="15105" width="9.140625" style="124"/>
    <col min="15106" max="15106" width="36.140625" style="124" customWidth="1"/>
    <col min="15107" max="15107" width="13.85546875" style="124" customWidth="1"/>
    <col min="15108" max="15361" width="9.140625" style="124"/>
    <col min="15362" max="15362" width="36.140625" style="124" customWidth="1"/>
    <col min="15363" max="15363" width="13.85546875" style="124" customWidth="1"/>
    <col min="15364" max="15617" width="9.140625" style="124"/>
    <col min="15618" max="15618" width="36.140625" style="124" customWidth="1"/>
    <col min="15619" max="15619" width="13.85546875" style="124" customWidth="1"/>
    <col min="15620" max="15873" width="9.140625" style="124"/>
    <col min="15874" max="15874" width="36.140625" style="124" customWidth="1"/>
    <col min="15875" max="15875" width="13.85546875" style="124" customWidth="1"/>
    <col min="15876" max="16129" width="9.140625" style="124"/>
    <col min="16130" max="16130" width="36.140625" style="124" customWidth="1"/>
    <col min="16131" max="16131" width="13.85546875" style="124" customWidth="1"/>
    <col min="16132" max="16384" width="9.140625" style="124"/>
  </cols>
  <sheetData>
    <row r="3" spans="1:7">
      <c r="A3" s="123" t="s">
        <v>70</v>
      </c>
      <c r="B3" s="123"/>
      <c r="C3" s="123"/>
    </row>
    <row r="5" spans="1:7" ht="15.75" thickBot="1"/>
    <row r="6" spans="1:7" s="130" customFormat="1" ht="15.75" thickBot="1">
      <c r="A6" s="127" t="s">
        <v>71</v>
      </c>
      <c r="B6" s="128" t="s">
        <v>27</v>
      </c>
      <c r="C6" s="129" t="s">
        <v>72</v>
      </c>
    </row>
    <row r="7" spans="1:7" ht="21.75" customHeight="1">
      <c r="A7" s="131"/>
      <c r="B7" s="132"/>
      <c r="C7" s="133"/>
      <c r="E7" s="124" t="s">
        <v>88</v>
      </c>
      <c r="F7" s="126" t="s">
        <v>89</v>
      </c>
      <c r="G7" s="124" t="s">
        <v>90</v>
      </c>
    </row>
    <row r="8" spans="1:7">
      <c r="A8" s="134">
        <v>1</v>
      </c>
      <c r="B8" s="135" t="s">
        <v>73</v>
      </c>
      <c r="C8" s="136">
        <v>5</v>
      </c>
      <c r="E8" s="124">
        <v>2.5</v>
      </c>
      <c r="F8" s="124">
        <v>2.5</v>
      </c>
      <c r="G8" s="124">
        <f>SUM(E8:F8)</f>
        <v>5</v>
      </c>
    </row>
    <row r="9" spans="1:7">
      <c r="A9" s="134">
        <v>2</v>
      </c>
      <c r="B9" s="135" t="s">
        <v>74</v>
      </c>
      <c r="C9" s="136">
        <v>5</v>
      </c>
      <c r="E9" s="124">
        <v>2.5</v>
      </c>
      <c r="F9" s="124">
        <v>2.5</v>
      </c>
      <c r="G9" s="124">
        <f>SUM(E9:F9)</f>
        <v>5</v>
      </c>
    </row>
    <row r="10" spans="1:7">
      <c r="A10" s="134">
        <v>3</v>
      </c>
      <c r="B10" s="135" t="s">
        <v>75</v>
      </c>
      <c r="C10" s="136">
        <v>40</v>
      </c>
      <c r="E10" s="124">
        <v>20</v>
      </c>
      <c r="F10" s="124">
        <v>20</v>
      </c>
      <c r="G10" s="124">
        <f>SUM(E10:F10)</f>
        <v>40</v>
      </c>
    </row>
    <row r="11" spans="1:7">
      <c r="A11" s="134">
        <v>4</v>
      </c>
      <c r="B11" s="135" t="s">
        <v>76</v>
      </c>
      <c r="C11" s="136">
        <v>7</v>
      </c>
      <c r="E11" s="124">
        <v>3.5</v>
      </c>
      <c r="G11" s="124">
        <f t="shared" ref="G11:G22" si="0">SUM(E11:F11)</f>
        <v>3.5</v>
      </c>
    </row>
    <row r="12" spans="1:7">
      <c r="A12" s="134">
        <v>5</v>
      </c>
      <c r="B12" s="135" t="s">
        <v>77</v>
      </c>
      <c r="C12" s="136">
        <v>7</v>
      </c>
      <c r="E12" s="124">
        <v>3.5</v>
      </c>
      <c r="F12" s="124">
        <v>3.5</v>
      </c>
      <c r="G12" s="124">
        <f t="shared" si="0"/>
        <v>7</v>
      </c>
    </row>
    <row r="13" spans="1:7">
      <c r="A13" s="134">
        <v>6</v>
      </c>
      <c r="B13" s="135" t="s">
        <v>78</v>
      </c>
      <c r="C13" s="136">
        <v>3.5</v>
      </c>
      <c r="E13" s="124">
        <f>C13*50%</f>
        <v>1.75</v>
      </c>
      <c r="G13" s="124">
        <f t="shared" si="0"/>
        <v>1.75</v>
      </c>
    </row>
    <row r="14" spans="1:7">
      <c r="A14" s="134">
        <v>7</v>
      </c>
      <c r="B14" s="135" t="s">
        <v>79</v>
      </c>
      <c r="C14" s="136">
        <v>3.5</v>
      </c>
      <c r="E14" s="124">
        <f t="shared" ref="E14:E22" si="1">C14*50%</f>
        <v>1.75</v>
      </c>
      <c r="F14" s="124">
        <v>1.75</v>
      </c>
      <c r="G14" s="124">
        <f>SUM(E14:F14)</f>
        <v>3.5</v>
      </c>
    </row>
    <row r="15" spans="1:7">
      <c r="A15" s="134">
        <v>8</v>
      </c>
      <c r="B15" s="135" t="s">
        <v>80</v>
      </c>
      <c r="C15" s="136">
        <v>5</v>
      </c>
      <c r="E15" s="124">
        <f t="shared" si="1"/>
        <v>2.5</v>
      </c>
      <c r="G15" s="124">
        <f t="shared" si="0"/>
        <v>2.5</v>
      </c>
    </row>
    <row r="16" spans="1:7">
      <c r="A16" s="134">
        <v>9</v>
      </c>
      <c r="B16" s="135" t="s">
        <v>81</v>
      </c>
      <c r="C16" s="136">
        <v>10</v>
      </c>
      <c r="E16" s="124">
        <f t="shared" si="1"/>
        <v>5</v>
      </c>
      <c r="G16" s="124">
        <f t="shared" si="0"/>
        <v>5</v>
      </c>
    </row>
    <row r="17" spans="1:7">
      <c r="A17" s="134">
        <v>10</v>
      </c>
      <c r="B17" s="135" t="s">
        <v>82</v>
      </c>
      <c r="C17" s="136">
        <v>1.5</v>
      </c>
      <c r="E17" s="124">
        <f t="shared" si="1"/>
        <v>0.75</v>
      </c>
      <c r="G17" s="124">
        <f t="shared" si="0"/>
        <v>0.75</v>
      </c>
    </row>
    <row r="18" spans="1:7">
      <c r="A18" s="134">
        <v>11</v>
      </c>
      <c r="B18" s="135" t="s">
        <v>83</v>
      </c>
      <c r="C18" s="136">
        <v>1.5</v>
      </c>
      <c r="E18" s="124">
        <f t="shared" si="1"/>
        <v>0.75</v>
      </c>
      <c r="G18" s="124">
        <f t="shared" si="0"/>
        <v>0.75</v>
      </c>
    </row>
    <row r="19" spans="1:7" ht="30">
      <c r="A19" s="134">
        <v>12</v>
      </c>
      <c r="B19" s="135" t="s">
        <v>84</v>
      </c>
      <c r="C19" s="136">
        <v>5</v>
      </c>
      <c r="E19" s="124">
        <f t="shared" si="1"/>
        <v>2.5</v>
      </c>
      <c r="G19" s="124">
        <f t="shared" si="0"/>
        <v>2.5</v>
      </c>
    </row>
    <row r="20" spans="1:7">
      <c r="A20" s="134">
        <v>13</v>
      </c>
      <c r="B20" s="135" t="s">
        <v>85</v>
      </c>
      <c r="C20" s="136">
        <v>2</v>
      </c>
      <c r="E20" s="124">
        <f t="shared" si="1"/>
        <v>1</v>
      </c>
      <c r="F20" s="124">
        <v>1</v>
      </c>
      <c r="G20" s="124">
        <f t="shared" si="0"/>
        <v>2</v>
      </c>
    </row>
    <row r="21" spans="1:7" ht="30">
      <c r="A21" s="134">
        <v>14</v>
      </c>
      <c r="B21" s="135" t="s">
        <v>86</v>
      </c>
      <c r="C21" s="136">
        <v>2</v>
      </c>
      <c r="E21" s="124">
        <f t="shared" si="1"/>
        <v>1</v>
      </c>
      <c r="F21" s="124">
        <v>1</v>
      </c>
      <c r="G21" s="124">
        <f t="shared" si="0"/>
        <v>2</v>
      </c>
    </row>
    <row r="22" spans="1:7" ht="30.75" thickBot="1">
      <c r="A22" s="134">
        <v>15</v>
      </c>
      <c r="B22" s="137" t="s">
        <v>87</v>
      </c>
      <c r="C22" s="138">
        <v>2</v>
      </c>
      <c r="G22" s="124">
        <f t="shared" si="0"/>
        <v>0</v>
      </c>
    </row>
    <row r="23" spans="1:7">
      <c r="C23" s="139">
        <f>SUM(C8:C22)</f>
        <v>100</v>
      </c>
      <c r="G23" s="124">
        <f>SUM(G8:G22)</f>
        <v>81.25</v>
      </c>
    </row>
    <row r="24" spans="1:7">
      <c r="C24" s="139"/>
    </row>
  </sheetData>
  <mergeCells count="1">
    <mergeCell ref="A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5" zoomScale="130" zoomScaleNormal="130" workbookViewId="0">
      <selection activeCell="A94" sqref="A9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Valuation</vt:lpstr>
      <vt:lpstr>Work Comletation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2024-03-14T09:11:42Z</dcterms:modified>
</cp:coreProperties>
</file>