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RBC Belapur\Rajendra Pundlikrao\"/>
    </mc:Choice>
  </mc:AlternateContent>
  <xr:revisionPtr revIDLastSave="0" documentId="13_ncr:1_{60B996E3-1F1F-4EAF-85FE-94F97E6C580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9" i="23" l="1"/>
  <c r="I19" i="23" s="1"/>
  <c r="F84" i="23"/>
  <c r="F23" i="23"/>
  <c r="F7" i="23"/>
  <c r="F8" i="23" s="1"/>
  <c r="F6" i="23"/>
  <c r="F5" i="23"/>
  <c r="F14" i="23" s="1"/>
  <c r="P25" i="25"/>
  <c r="P24" i="25"/>
  <c r="P22" i="25"/>
  <c r="D33" i="25"/>
  <c r="C30" i="25"/>
  <c r="D30" i="25" s="1"/>
  <c r="D29" i="25"/>
  <c r="D31" i="25" s="1"/>
  <c r="D27" i="25"/>
  <c r="D26" i="25"/>
  <c r="D25" i="25"/>
  <c r="C26" i="25"/>
  <c r="G62" i="4"/>
  <c r="G21" i="23" l="1"/>
  <c r="G20" i="23"/>
  <c r="F10" i="23"/>
  <c r="F11" i="23" s="1"/>
  <c r="F12" i="23"/>
  <c r="F13" i="23" s="1"/>
  <c r="F16" i="23" s="1"/>
  <c r="F19" i="23" s="1"/>
  <c r="P72" i="4"/>
  <c r="P71" i="4"/>
  <c r="F20" i="23" l="1"/>
  <c r="F21" i="23"/>
  <c r="F25" i="23"/>
  <c r="G68" i="4"/>
  <c r="E68" i="4"/>
  <c r="G64" i="4"/>
  <c r="E64" i="4"/>
  <c r="E62" i="4"/>
  <c r="G58" i="4"/>
  <c r="G59" i="4" s="1"/>
  <c r="E58" i="4"/>
  <c r="E59" i="4" s="1"/>
  <c r="G57" i="4"/>
  <c r="E57" i="4"/>
  <c r="G55" i="4"/>
  <c r="E55" i="4"/>
  <c r="T39" i="4"/>
  <c r="Q37" i="4"/>
  <c r="Q36" i="4"/>
  <c r="P37" i="4"/>
  <c r="P36" i="4"/>
  <c r="R37" i="4"/>
  <c r="R36" i="4"/>
  <c r="P2" i="4"/>
  <c r="D36" i="4"/>
  <c r="D37" i="4"/>
  <c r="J45" i="4"/>
  <c r="I44" i="4"/>
  <c r="I46" i="4" s="1"/>
  <c r="I43" i="4"/>
  <c r="I42" i="4"/>
  <c r="E70" i="4" l="1"/>
  <c r="G70" i="4"/>
  <c r="T37" i="4"/>
  <c r="T36" i="4"/>
  <c r="I47" i="4"/>
  <c r="I48" i="4"/>
  <c r="C4" i="25"/>
  <c r="C5" i="25" s="1"/>
  <c r="B2" i="4"/>
  <c r="C2" i="4" s="1"/>
  <c r="P3" i="4"/>
  <c r="B3" i="4" s="1"/>
  <c r="C3" i="4" s="1"/>
  <c r="D3" i="4" s="1"/>
  <c r="P4" i="4"/>
  <c r="P5" i="4"/>
  <c r="P6" i="4"/>
  <c r="B6" i="4" s="1"/>
  <c r="C6" i="4" s="1"/>
  <c r="P7" i="4"/>
  <c r="Q7" i="4" s="1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70" i="4" l="1"/>
  <c r="H74" i="4" s="1"/>
  <c r="T38" i="4"/>
  <c r="T40" i="4" s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H71" i="4"/>
  <c r="Q71" i="4" s="1"/>
  <c r="H72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<sst xmlns="http://schemas.openxmlformats.org/spreadsheetml/2006/main" count="187" uniqueCount="114">
  <si>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</si>
  <si>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</si>
  <si>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</si>
  <si>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</si>
  <si>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</si>
  <si>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</si>
  <si>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</si>
  <si>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</si>
  <si>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</si>
  <si>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</si>
  <si>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</si>
  <si>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</si>
  <si>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</si>
  <si>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</si>
  <si>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</si>
  <si>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</si>
  <si>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</si>
  <si>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</si>
  <si>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</si>
  <si>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</si>
  <si>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</si>
  <si>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</si>
  <si>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</si>
  <si>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</si>
  <si>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</si>
  <si>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</si>
  <si>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</si>
  <si>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</si>
  <si>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</si>
  <si>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</si>
  <si>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</si>
  <si>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</si>
  <si>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</si>
  <si>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</si>
  <si>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</si>
  <si>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</si>
  <si>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</si>
  <si>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</si>
  <si>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</si>
  <si>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</si>
  <si>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</si>
  <si>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</si>
  <si>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</si>
  <si>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</si>
  <si>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</si>
  <si>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</si>
  <si>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</si>
  <si>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</si>
  <si>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</si>
  <si>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</si>
  <si>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</si>
  <si>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</si>
  <si>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</si>
  <si>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</si>
  <si>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</si>
  <si>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</si>
  <si>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</si>
  <si>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</si>
  <si>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</si>
  <si>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</si>
  <si>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</si>
  <si>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</si>
  <si>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</si>
  <si>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</si>
  <si>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</si>
  <si>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</si>
  <si>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</si>
  <si>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</si>
  <si>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</si>
  <si>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</si>
  <si>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</si>
  <si>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</si>
  <si>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</si>
  <si>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</si>
  <si>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</si>
  <si>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</si>
  <si>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</si>
  <si>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</si>
  <si>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</si>
  <si>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</si>
  <si>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</si>
  <si>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</si>
  <si>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</si>
  <si>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</si>
  <si>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</si>
  <si>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</si>
  <si>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Flat No.</t>
  </si>
  <si>
    <t>Terrace</t>
  </si>
  <si>
    <t>Car Parking</t>
  </si>
  <si>
    <t>AV SHETTY - 27.02.2024</t>
  </si>
  <si>
    <t>FLAT NO.</t>
  </si>
  <si>
    <t xml:space="preserve">BUA </t>
  </si>
  <si>
    <t>RATE ON BUA</t>
  </si>
  <si>
    <t>VALUE</t>
  </si>
  <si>
    <t>4 Car Parking</t>
  </si>
  <si>
    <t>Total FMV</t>
  </si>
  <si>
    <t>IGR-15.02.24</t>
  </si>
  <si>
    <t>Rate on CA</t>
  </si>
  <si>
    <t>Flat Value</t>
  </si>
  <si>
    <t>Terrace Value</t>
  </si>
  <si>
    <t>Interior Value</t>
  </si>
  <si>
    <t>Total Value</t>
  </si>
  <si>
    <t>Rate on BUA</t>
  </si>
  <si>
    <t>A) Flat No. 1501</t>
  </si>
  <si>
    <t>B) Flat No. 1506</t>
  </si>
  <si>
    <t>Terrace Area</t>
  </si>
  <si>
    <t>Carpet Area</t>
  </si>
  <si>
    <t xml:space="preserve">Car Parking </t>
  </si>
  <si>
    <t>1 Car Parking</t>
  </si>
  <si>
    <t>Car Parking Value</t>
  </si>
  <si>
    <t>Fakr Market Value</t>
  </si>
  <si>
    <t>Realizable Value</t>
  </si>
  <si>
    <t>Distress Value</t>
  </si>
  <si>
    <t xml:space="preserve">av shetty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</si>
</sst>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2" fillId="0" borderId="8" xfId="0" applyNumberFormat="1" applyFont="1" applyBorder="1"/>
    <xf numFmtId="43" fontId="2" fillId="2" borderId="0" xfId="0" applyNumberFormat="1" applyFont="1" applyFill="1"/>
    <xf numFmtId="0" fontId="2" fillId="2" borderId="0" xfId="0" applyFont="1" applyFill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29791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F6E80F-F52B-4DC1-A672-FC953D68E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354857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71A0CD-BE45-422B-83A1-EA681137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23657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B297E-BD67-422A-8B8D-4C953180C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316071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16E9A-3C88-4DDE-9F6B-FEF6E86C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08071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249386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D129A6-8FE6-4A42-B9C4-E31914A0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1386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P37"/>
  <sheetViews>
    <sheetView topLeftCell="A5" workbookViewId="0">
      <selection activeCell="N23" sqref="N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5703125" bestFit="1" customWidth="1"/>
    <col min="4" max="4" width="14.2851562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  <col min="16" max="16" width="14.28515625" bestFit="1" customWidth="1"/>
  </cols>
  <sheetData>
    <row r="3" spans="2:12" x14ac:dyDescent="0.25">
      <c r="B3" s="42" t="s">
        <v>78</v>
      </c>
      <c r="C3" s="53">
        <v>321690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C3*10%</f>
        <v>32169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353859</v>
      </c>
      <c r="D5" s="59" t="s">
        <v>62</v>
      </c>
      <c r="E5" s="60">
        <f>C5/10.764</f>
        <v>32874.303232998886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139950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213909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186100.83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326050.82999999996</v>
      </c>
      <c r="D9" s="59" t="s">
        <v>62</v>
      </c>
      <c r="E9" s="60">
        <f>C9/10.764</f>
        <v>30290.861204013378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2011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13</v>
      </c>
      <c r="D13" s="66">
        <f>D12-C13</f>
        <v>87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1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16" x14ac:dyDescent="0.25">
      <c r="B18" s="42" t="s">
        <v>65</v>
      </c>
      <c r="C18" s="53">
        <v>26620</v>
      </c>
      <c r="D18" s="42"/>
      <c r="E18" s="42"/>
      <c r="F18" s="42"/>
    </row>
    <row r="19" spans="2:1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16" ht="45" x14ac:dyDescent="0.25">
      <c r="B20" s="63" t="s">
        <v>67</v>
      </c>
      <c r="C20" s="53">
        <f>C18*80%</f>
        <v>21296</v>
      </c>
      <c r="D20" s="42"/>
      <c r="E20" s="42"/>
      <c r="F20" s="42"/>
      <c r="P20" s="10">
        <v>724</v>
      </c>
    </row>
    <row r="21" spans="2:1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  <c r="P21" s="10">
        <v>19000</v>
      </c>
    </row>
    <row r="22" spans="2:16" x14ac:dyDescent="0.25">
      <c r="P22" s="10">
        <f>P20*P21</f>
        <v>13756000</v>
      </c>
    </row>
    <row r="23" spans="2:16" x14ac:dyDescent="0.25">
      <c r="P23" s="10">
        <v>800000</v>
      </c>
    </row>
    <row r="24" spans="2:16" x14ac:dyDescent="0.25">
      <c r="P24" s="10">
        <f>P22+P23</f>
        <v>14556000</v>
      </c>
    </row>
    <row r="25" spans="2:16" x14ac:dyDescent="0.25">
      <c r="B25">
        <v>1098.69</v>
      </c>
      <c r="C25" s="10">
        <v>30291</v>
      </c>
      <c r="D25" s="66">
        <f>B25*C25</f>
        <v>33280418.790000003</v>
      </c>
      <c r="P25" s="10">
        <f>P24*0.025/12</f>
        <v>30325</v>
      </c>
    </row>
    <row r="26" spans="2:16" x14ac:dyDescent="0.25">
      <c r="B26">
        <v>507.94</v>
      </c>
      <c r="C26" s="10">
        <f>C25*0.4</f>
        <v>12116.400000000001</v>
      </c>
      <c r="D26" s="66">
        <f>B26*C26</f>
        <v>6154404.2160000009</v>
      </c>
      <c r="P26" s="10"/>
    </row>
    <row r="27" spans="2:16" x14ac:dyDescent="0.25">
      <c r="D27" s="66">
        <f>SUM(D25:D26)</f>
        <v>39434823.006000005</v>
      </c>
      <c r="P27" s="10"/>
    </row>
    <row r="28" spans="2:16" x14ac:dyDescent="0.25">
      <c r="P28" s="10"/>
    </row>
    <row r="29" spans="2:16" x14ac:dyDescent="0.25">
      <c r="B29">
        <v>955.32</v>
      </c>
      <c r="C29" s="10">
        <v>30291</v>
      </c>
      <c r="D29" s="66">
        <f>B29*C29</f>
        <v>28937598.120000001</v>
      </c>
      <c r="P29" s="10"/>
    </row>
    <row r="30" spans="2:16" x14ac:dyDescent="0.25">
      <c r="B30">
        <v>297.51</v>
      </c>
      <c r="C30" s="10">
        <f>C29*0.4</f>
        <v>12116.400000000001</v>
      </c>
      <c r="D30" s="66">
        <f>B30*C30</f>
        <v>3604750.1640000003</v>
      </c>
      <c r="P30" s="10"/>
    </row>
    <row r="31" spans="2:16" x14ac:dyDescent="0.25">
      <c r="D31" s="66">
        <f>SUM(D29:D30)</f>
        <v>32542348.284000002</v>
      </c>
      <c r="P31" s="10"/>
    </row>
    <row r="32" spans="2:16" x14ac:dyDescent="0.25">
      <c r="P32" s="10"/>
    </row>
    <row r="33" spans="4:16" x14ac:dyDescent="0.25">
      <c r="D33" s="66">
        <f>D31+D27</f>
        <v>71977171.290000007</v>
      </c>
      <c r="P33" s="10"/>
    </row>
    <row r="34" spans="4:16" x14ac:dyDescent="0.25">
      <c r="P34" s="10"/>
    </row>
    <row r="35" spans="4:16" x14ac:dyDescent="0.25">
      <c r="P35" s="10"/>
    </row>
    <row r="36" spans="4:16" x14ac:dyDescent="0.25">
      <c r="P36" s="10"/>
    </row>
    <row r="37" spans="4:16" x14ac:dyDescent="0.25">
      <c r="P37" s="1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workbookViewId="0">
      <selection activeCell="I19" sqref="I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4.28515625" style="16" bestFit="1" customWidth="1"/>
    <col min="8" max="9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54700</v>
      </c>
      <c r="D3" s="22" t="s">
        <v>76</v>
      </c>
      <c r="E3" s="6" t="s">
        <v>77</v>
      </c>
      <c r="F3" s="19">
        <v>19400</v>
      </c>
      <c r="G3" s="22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3500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51200</v>
      </c>
      <c r="D5" s="22"/>
      <c r="F5" s="19">
        <f>F3-F4</f>
        <v>16400</v>
      </c>
      <c r="G5" s="22"/>
    </row>
    <row r="6" spans="1:8" x14ac:dyDescent="0.25">
      <c r="A6" s="15" t="s">
        <v>16</v>
      </c>
      <c r="B6" s="18"/>
      <c r="C6" s="19">
        <f>C4</f>
        <v>3500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13</v>
      </c>
      <c r="D7" s="24">
        <v>2024</v>
      </c>
      <c r="F7" s="24">
        <f>G7-G8</f>
        <v>9</v>
      </c>
      <c r="G7" s="24">
        <v>2024</v>
      </c>
    </row>
    <row r="8" spans="1:8" x14ac:dyDescent="0.25">
      <c r="A8" s="15" t="s">
        <v>18</v>
      </c>
      <c r="B8" s="23"/>
      <c r="C8" s="24">
        <f>C9-C7</f>
        <v>47</v>
      </c>
      <c r="D8" s="24">
        <v>2011</v>
      </c>
      <c r="F8" s="24">
        <f>F9-F7</f>
        <v>51</v>
      </c>
      <c r="G8" s="24">
        <v>2015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19.5</v>
      </c>
      <c r="D10" s="24"/>
      <c r="F10" s="24">
        <f>90*F7/F9</f>
        <v>13.5</v>
      </c>
      <c r="G10" s="24"/>
    </row>
    <row r="11" spans="1:8" x14ac:dyDescent="0.25">
      <c r="A11" s="15"/>
      <c r="B11" s="25"/>
      <c r="C11" s="26">
        <f>C10%</f>
        <v>0.19500000000000001</v>
      </c>
      <c r="D11" s="26"/>
      <c r="F11" s="26">
        <f>F10%</f>
        <v>0.13500000000000001</v>
      </c>
      <c r="G11" s="26"/>
    </row>
    <row r="12" spans="1:8" x14ac:dyDescent="0.25">
      <c r="A12" s="15" t="s">
        <v>21</v>
      </c>
      <c r="B12" s="18"/>
      <c r="C12" s="19">
        <f>C6*C11</f>
        <v>682.5</v>
      </c>
      <c r="D12" s="22"/>
      <c r="F12" s="19">
        <f>F6*F11</f>
        <v>405</v>
      </c>
      <c r="G12" s="22"/>
    </row>
    <row r="13" spans="1:8" x14ac:dyDescent="0.25">
      <c r="A13" s="15" t="s">
        <v>22</v>
      </c>
      <c r="B13" s="18"/>
      <c r="C13" s="19">
        <f>C6-C12</f>
        <v>2817.5</v>
      </c>
      <c r="D13" s="22"/>
      <c r="F13" s="19">
        <f>F6-F12</f>
        <v>2595</v>
      </c>
      <c r="G13" s="22"/>
    </row>
    <row r="14" spans="1:8" x14ac:dyDescent="0.25">
      <c r="A14" s="15" t="s">
        <v>15</v>
      </c>
      <c r="B14" s="18"/>
      <c r="C14" s="19">
        <f>C5</f>
        <v>51200</v>
      </c>
      <c r="D14" s="22"/>
      <c r="F14" s="19">
        <f>F5</f>
        <v>16400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54017.5</v>
      </c>
      <c r="D16" s="22"/>
      <c r="F16" s="20">
        <f>F14+F13</f>
        <v>18995</v>
      </c>
      <c r="G16" s="20">
        <v>19000</v>
      </c>
    </row>
    <row r="17" spans="1:9" x14ac:dyDescent="0.25">
      <c r="B17" s="23"/>
      <c r="C17" s="24"/>
      <c r="D17" s="24"/>
      <c r="F17" s="24"/>
      <c r="G17" s="24"/>
    </row>
    <row r="18" spans="1:9" x14ac:dyDescent="0.25">
      <c r="A18" s="72" t="str">
        <f>E3</f>
        <v>BUA</v>
      </c>
      <c r="B18" s="7"/>
      <c r="C18" s="29">
        <v>0</v>
      </c>
      <c r="D18" s="24"/>
      <c r="F18" s="29">
        <v>724</v>
      </c>
      <c r="G18" s="29">
        <v>724</v>
      </c>
    </row>
    <row r="19" spans="1:9" x14ac:dyDescent="0.25">
      <c r="A19" s="15" t="s">
        <v>74</v>
      </c>
      <c r="B19" s="6"/>
      <c r="C19" s="30">
        <f>C18*C16</f>
        <v>0</v>
      </c>
      <c r="D19" s="31"/>
      <c r="E19" s="66"/>
      <c r="F19" s="30">
        <f>F18*F16</f>
        <v>13752380</v>
      </c>
      <c r="G19" s="30">
        <f>G18*G16</f>
        <v>13756000</v>
      </c>
      <c r="H19" s="66">
        <v>800000</v>
      </c>
      <c r="I19" s="66">
        <f>G19+H19</f>
        <v>14556000</v>
      </c>
    </row>
    <row r="20" spans="1:9" x14ac:dyDescent="0.25">
      <c r="A20" s="15" t="s">
        <v>24</v>
      </c>
      <c r="C20" s="32">
        <f>C19*90%</f>
        <v>0</v>
      </c>
      <c r="D20" s="30"/>
      <c r="F20" s="32">
        <f>F19*90%</f>
        <v>12377142</v>
      </c>
      <c r="G20" s="32">
        <f>G19*90%</f>
        <v>12380400</v>
      </c>
    </row>
    <row r="21" spans="1:9" x14ac:dyDescent="0.25">
      <c r="A21" s="15" t="s">
        <v>25</v>
      </c>
      <c r="C21" s="32">
        <f>C19*80%</f>
        <v>0</v>
      </c>
      <c r="D21" s="32"/>
      <c r="F21" s="32">
        <f>F19*80%</f>
        <v>11001904</v>
      </c>
      <c r="G21" s="32">
        <f>G19*80%</f>
        <v>11004800</v>
      </c>
    </row>
    <row r="22" spans="1:9" x14ac:dyDescent="0.25">
      <c r="A22" s="15"/>
      <c r="D22" s="24"/>
      <c r="G22" s="24"/>
    </row>
    <row r="23" spans="1:9" x14ac:dyDescent="0.25">
      <c r="A23" s="33" t="s">
        <v>26</v>
      </c>
      <c r="B23" s="34"/>
      <c r="C23" s="35">
        <f>C4*C18</f>
        <v>0</v>
      </c>
      <c r="D23" s="35"/>
      <c r="F23" s="35">
        <f>F4*F18</f>
        <v>2172000</v>
      </c>
      <c r="G23" s="35"/>
    </row>
    <row r="24" spans="1:9" x14ac:dyDescent="0.25">
      <c r="A24" s="15" t="s">
        <v>27</v>
      </c>
    </row>
    <row r="25" spans="1:9" x14ac:dyDescent="0.25">
      <c r="A25" s="36" t="s">
        <v>28</v>
      </c>
      <c r="B25" s="16"/>
      <c r="C25" s="32">
        <f>C19*0.025/12</f>
        <v>0</v>
      </c>
      <c r="D25" s="32"/>
      <c r="F25" s="32">
        <f>F19*0.025/12</f>
        <v>28650.791666666668</v>
      </c>
      <c r="G25" s="32"/>
    </row>
    <row r="26" spans="1:9" x14ac:dyDescent="0.25">
      <c r="C26" s="32"/>
      <c r="D26" s="32"/>
      <c r="F26" s="32"/>
      <c r="G26" s="32"/>
    </row>
    <row r="27" spans="1:9" x14ac:dyDescent="0.25">
      <c r="C27" s="32"/>
      <c r="D27" s="32"/>
      <c r="F27" s="32"/>
      <c r="G27" s="32"/>
    </row>
    <row r="28" spans="1:9" x14ac:dyDescent="0.25">
      <c r="C28"/>
      <c r="D28"/>
      <c r="F28"/>
      <c r="G28"/>
    </row>
    <row r="29" spans="1:9" x14ac:dyDescent="0.25">
      <c r="C29"/>
      <c r="D29"/>
      <c r="F29"/>
      <c r="G29"/>
    </row>
    <row r="30" spans="1:9" x14ac:dyDescent="0.25">
      <c r="C30"/>
      <c r="D30"/>
      <c r="F30"/>
      <c r="G30"/>
    </row>
    <row r="31" spans="1:9" x14ac:dyDescent="0.25">
      <c r="C31"/>
      <c r="D31"/>
      <c r="F31"/>
      <c r="G31"/>
    </row>
    <row r="32" spans="1:9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4"/>
  <sheetViews>
    <sheetView tabSelected="1" topLeftCell="A49" workbookViewId="0">
      <selection activeCell="H72" sqref="H7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6.5703125" customWidth="1"/>
    <col min="5" max="5" width="14.42578125" bestFit="1" customWidth="1"/>
    <col min="6" max="6" width="18.5703125" customWidth="1"/>
    <col min="7" max="7" width="14.28515625" bestFit="1" customWidth="1"/>
    <col min="8" max="8" width="15.28515625" bestFit="1" customWidth="1"/>
    <col min="9" max="9" width="18" customWidth="1"/>
    <col min="10" max="10" width="12.5703125" bestFit="1" customWidth="1"/>
    <col min="11" max="13" width="0" hidden="1" customWidth="1"/>
    <col min="14" max="14" width="6.7109375" customWidth="1"/>
    <col min="15" max="15" width="12.85546875" bestFit="1" customWidth="1"/>
    <col min="16" max="16" width="15.28515625" bestFit="1" customWidth="1"/>
    <col min="17" max="17" width="14.28515625" bestFit="1" customWidth="1"/>
    <col min="18" max="18" width="14.42578125" bestFit="1" customWidth="1"/>
    <col min="19" max="19" width="13.85546875" customWidth="1"/>
    <col min="20" max="20" width="15.28515625" bestFit="1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2050</v>
      </c>
      <c r="C2" s="4">
        <f t="shared" ref="C2:C16" si="1">B2*1.2</f>
        <v>2460</v>
      </c>
      <c r="D2" s="4">
        <f t="shared" ref="D2:D16" si="2">C2*1.2</f>
        <v>2952</v>
      </c>
      <c r="E2" s="5">
        <f t="shared" ref="E2:E16" si="3">R2</f>
        <v>165000000</v>
      </c>
      <c r="F2" s="4">
        <f t="shared" ref="F2:F15" si="4">ROUND((E2/B2),0)</f>
        <v>80488</v>
      </c>
      <c r="G2" s="77">
        <f t="shared" ref="G2:G15" si="5">ROUND((E2/C2),0)</f>
        <v>67073</v>
      </c>
      <c r="H2" s="77">
        <f t="shared" ref="H2:H15" si="6">ROUND((E2/D2),0)</f>
        <v>55894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v>2050</v>
      </c>
      <c r="R2" s="78">
        <v>165000000</v>
      </c>
      <c r="S2" s="2"/>
    </row>
    <row r="3" spans="1:19" x14ac:dyDescent="0.25">
      <c r="A3" s="4">
        <v>2</v>
      </c>
      <c r="B3" s="4">
        <f t="shared" si="0"/>
        <v>2070</v>
      </c>
      <c r="C3" s="4">
        <f t="shared" si="1"/>
        <v>2484</v>
      </c>
      <c r="D3" s="4">
        <f t="shared" si="2"/>
        <v>2980.7999999999997</v>
      </c>
      <c r="E3" s="5">
        <f t="shared" si="3"/>
        <v>156000000</v>
      </c>
      <c r="F3" s="4">
        <f t="shared" si="4"/>
        <v>75362</v>
      </c>
      <c r="G3" s="77">
        <f t="shared" si="5"/>
        <v>62802</v>
      </c>
      <c r="H3" s="77">
        <f t="shared" si="6"/>
        <v>52335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2070</v>
      </c>
      <c r="R3" s="78">
        <v>156000000</v>
      </c>
      <c r="S3" s="2"/>
    </row>
    <row r="4" spans="1:19" x14ac:dyDescent="0.25">
      <c r="A4" s="4">
        <v>3</v>
      </c>
      <c r="B4" s="4">
        <f t="shared" si="0"/>
        <v>1487</v>
      </c>
      <c r="C4" s="4">
        <f t="shared" si="1"/>
        <v>1784.3999999999999</v>
      </c>
      <c r="D4" s="4">
        <f t="shared" si="2"/>
        <v>2141.2799999999997</v>
      </c>
      <c r="E4" s="5">
        <f t="shared" si="3"/>
        <v>90000000</v>
      </c>
      <c r="F4" s="4">
        <f t="shared" si="4"/>
        <v>60525</v>
      </c>
      <c r="G4" s="4">
        <f t="shared" si="5"/>
        <v>50437</v>
      </c>
      <c r="H4" s="4">
        <f t="shared" si="6"/>
        <v>42031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1487</v>
      </c>
      <c r="R4" s="2">
        <v>90000000</v>
      </c>
      <c r="S4" s="2" t="s">
        <v>96</v>
      </c>
    </row>
    <row r="5" spans="1:19" x14ac:dyDescent="0.25">
      <c r="A5" s="4">
        <v>4</v>
      </c>
      <c r="B5" s="4">
        <f t="shared" si="0"/>
        <v>2400</v>
      </c>
      <c r="C5" s="4">
        <f t="shared" si="1"/>
        <v>2880</v>
      </c>
      <c r="D5" s="4">
        <f t="shared" si="2"/>
        <v>3456</v>
      </c>
      <c r="E5" s="5">
        <f t="shared" si="3"/>
        <v>150000000</v>
      </c>
      <c r="F5" s="4">
        <f t="shared" si="4"/>
        <v>62500</v>
      </c>
      <c r="G5" s="77">
        <f t="shared" si="5"/>
        <v>52083</v>
      </c>
      <c r="H5" s="77">
        <f t="shared" si="6"/>
        <v>43403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2400</v>
      </c>
      <c r="R5" s="78">
        <v>150000000</v>
      </c>
      <c r="S5" s="2"/>
    </row>
    <row r="6" spans="1:19" x14ac:dyDescent="0.25">
      <c r="A6" s="4">
        <v>5</v>
      </c>
      <c r="B6" s="4">
        <f t="shared" si="0"/>
        <v>1822</v>
      </c>
      <c r="C6" s="4">
        <f t="shared" si="1"/>
        <v>2186.4</v>
      </c>
      <c r="D6" s="4">
        <f t="shared" si="2"/>
        <v>2623.68</v>
      </c>
      <c r="E6" s="5">
        <f t="shared" si="3"/>
        <v>125000000</v>
      </c>
      <c r="F6" s="4">
        <f t="shared" si="4"/>
        <v>68606</v>
      </c>
      <c r="G6" s="77">
        <f t="shared" si="5"/>
        <v>57172</v>
      </c>
      <c r="H6" s="77">
        <f t="shared" si="6"/>
        <v>47643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1822</v>
      </c>
      <c r="R6" s="78">
        <v>125000000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ref="Q5:Q10" si="11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>T18</f>
        <v>0</v>
      </c>
      <c r="J18" s="4">
        <f t="shared" ref="J18:J21" si="35">U18</f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>T19</f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>T21</f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0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 t="e">
        <f>G29/G28</f>
        <v>#DIV/0!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20" s="10" customFormat="1" x14ac:dyDescent="0.25">
      <c r="C33" s="71"/>
      <c r="D33" s="71"/>
      <c r="F33" s="71" t="s">
        <v>25</v>
      </c>
      <c r="G33" s="71">
        <f>G31*80%</f>
        <v>0</v>
      </c>
    </row>
    <row r="34" spans="3:20" s="10" customFormat="1" x14ac:dyDescent="0.25">
      <c r="C34" s="71"/>
      <c r="D34" s="71"/>
    </row>
    <row r="35" spans="3:20" s="10" customFormat="1" x14ac:dyDescent="0.25">
      <c r="C35" s="71"/>
      <c r="D35" s="71"/>
      <c r="E35" s="10" t="s">
        <v>71</v>
      </c>
      <c r="F35" s="71" t="s">
        <v>86</v>
      </c>
      <c r="G35" s="71" t="s">
        <v>85</v>
      </c>
      <c r="H35" s="71" t="s">
        <v>72</v>
      </c>
      <c r="I35" s="71" t="s">
        <v>87</v>
      </c>
      <c r="J35" s="71" t="s">
        <v>88</v>
      </c>
      <c r="O35" s="71" t="s">
        <v>102</v>
      </c>
      <c r="P35" s="71" t="s">
        <v>98</v>
      </c>
      <c r="Q35" s="71" t="s">
        <v>99</v>
      </c>
      <c r="R35" s="71" t="s">
        <v>100</v>
      </c>
      <c r="S35" s="71" t="s">
        <v>88</v>
      </c>
      <c r="T35" s="71" t="s">
        <v>101</v>
      </c>
    </row>
    <row r="36" spans="3:20" s="10" customFormat="1" x14ac:dyDescent="0.25">
      <c r="D36" s="10">
        <f>G36+I36</f>
        <v>1423.52</v>
      </c>
      <c r="E36" s="10">
        <v>1679</v>
      </c>
      <c r="F36" s="53">
        <v>1501</v>
      </c>
      <c r="G36" s="53">
        <v>915.58</v>
      </c>
      <c r="H36" s="53">
        <v>1098.69</v>
      </c>
      <c r="I36" s="53">
        <v>507.94</v>
      </c>
      <c r="J36" s="53">
        <v>2</v>
      </c>
      <c r="O36" s="53">
        <v>55500</v>
      </c>
      <c r="P36" s="53">
        <f>O36*H36</f>
        <v>60977295</v>
      </c>
      <c r="Q36" s="53">
        <f>22200*I36</f>
        <v>11276268</v>
      </c>
      <c r="R36" s="53">
        <f>G36*5000</f>
        <v>4577900</v>
      </c>
      <c r="S36" s="53">
        <v>4000000</v>
      </c>
      <c r="T36" s="53">
        <f>S36+R36+Q36+P36</f>
        <v>80831463</v>
      </c>
    </row>
    <row r="37" spans="3:20" s="10" customFormat="1" x14ac:dyDescent="0.25">
      <c r="D37" s="10">
        <f>G37+I37</f>
        <v>1093.6100000000001</v>
      </c>
      <c r="E37" s="10">
        <v>1427</v>
      </c>
      <c r="F37" s="53">
        <v>1601</v>
      </c>
      <c r="G37" s="53">
        <v>796.1</v>
      </c>
      <c r="H37" s="53">
        <v>955.32</v>
      </c>
      <c r="I37" s="53">
        <v>297.51</v>
      </c>
      <c r="J37" s="53">
        <v>2</v>
      </c>
      <c r="O37" s="53">
        <v>55500</v>
      </c>
      <c r="P37" s="53">
        <f>O37*H37</f>
        <v>53020260</v>
      </c>
      <c r="Q37" s="53">
        <f>22200*I37</f>
        <v>6604722</v>
      </c>
      <c r="R37" s="53">
        <f>G37*5000</f>
        <v>3980500</v>
      </c>
      <c r="S37" s="53">
        <v>4000000</v>
      </c>
      <c r="T37" s="53">
        <f>S37+R37+Q37+P37</f>
        <v>67605482</v>
      </c>
    </row>
    <row r="38" spans="3:20" s="10" customFormat="1" x14ac:dyDescent="0.25">
      <c r="O38" s="53"/>
      <c r="P38" s="53"/>
      <c r="Q38" s="53"/>
      <c r="R38" s="53"/>
      <c r="S38" s="71" t="s">
        <v>74</v>
      </c>
      <c r="T38" s="71">
        <f>SUM(T36:T37)</f>
        <v>148436945</v>
      </c>
    </row>
    <row r="39" spans="3:20" s="10" customFormat="1" x14ac:dyDescent="0.25">
      <c r="O39" s="53"/>
      <c r="P39" s="53"/>
      <c r="Q39" s="53"/>
      <c r="R39" s="53"/>
      <c r="S39" s="71" t="s">
        <v>24</v>
      </c>
      <c r="T39" s="71">
        <f>T38*0.9</f>
        <v>133593250.5</v>
      </c>
    </row>
    <row r="40" spans="3:20" s="10" customFormat="1" x14ac:dyDescent="0.25">
      <c r="F40" s="53" t="s">
        <v>89</v>
      </c>
      <c r="G40" s="53"/>
      <c r="H40" s="53"/>
      <c r="I40" s="53"/>
      <c r="J40" s="53"/>
      <c r="O40" s="53"/>
      <c r="P40" s="53"/>
      <c r="Q40" s="53"/>
      <c r="R40" s="53"/>
      <c r="S40" s="71" t="s">
        <v>25</v>
      </c>
      <c r="T40" s="71">
        <f>T38*0.8</f>
        <v>118749556</v>
      </c>
    </row>
    <row r="41" spans="3:20" x14ac:dyDescent="0.25">
      <c r="F41" s="42" t="s">
        <v>90</v>
      </c>
      <c r="G41" s="42" t="s">
        <v>91</v>
      </c>
      <c r="H41" s="42" t="s">
        <v>92</v>
      </c>
      <c r="I41" s="42" t="s">
        <v>93</v>
      </c>
      <c r="J41" s="42"/>
    </row>
    <row r="42" spans="3:20" x14ac:dyDescent="0.25">
      <c r="F42" s="42">
        <v>1501</v>
      </c>
      <c r="G42" s="42">
        <v>1098.69</v>
      </c>
      <c r="H42" s="53">
        <v>67000</v>
      </c>
      <c r="I42" s="53">
        <f>G42*H42</f>
        <v>73612230</v>
      </c>
      <c r="J42" s="42"/>
    </row>
    <row r="43" spans="3:20" x14ac:dyDescent="0.25">
      <c r="F43" s="42">
        <v>1601</v>
      </c>
      <c r="G43" s="42">
        <v>955.32</v>
      </c>
      <c r="H43" s="53">
        <v>67000</v>
      </c>
      <c r="I43" s="53">
        <f>G43*H43</f>
        <v>64006440</v>
      </c>
      <c r="J43" s="42"/>
    </row>
    <row r="44" spans="3:20" x14ac:dyDescent="0.25">
      <c r="F44" s="42"/>
      <c r="G44" s="42"/>
      <c r="H44" s="42"/>
      <c r="I44" s="53">
        <f>SUM(I42:I43)</f>
        <v>137618670</v>
      </c>
      <c r="J44" s="42"/>
    </row>
    <row r="45" spans="3:20" x14ac:dyDescent="0.25">
      <c r="F45" s="42"/>
      <c r="G45" s="42"/>
      <c r="H45" s="42" t="s">
        <v>94</v>
      </c>
      <c r="I45" s="53">
        <v>12500000</v>
      </c>
      <c r="J45" s="71">
        <f>I45/4</f>
        <v>3125000</v>
      </c>
    </row>
    <row r="46" spans="3:20" x14ac:dyDescent="0.25">
      <c r="F46" s="42"/>
      <c r="G46" s="42"/>
      <c r="H46" s="48" t="s">
        <v>95</v>
      </c>
      <c r="I46" s="73">
        <f>I44+I45</f>
        <v>150118670</v>
      </c>
      <c r="J46" s="42"/>
    </row>
    <row r="47" spans="3:20" x14ac:dyDescent="0.25">
      <c r="F47" s="42"/>
      <c r="G47" s="42"/>
      <c r="H47" s="48" t="s">
        <v>24</v>
      </c>
      <c r="I47" s="73">
        <f>I46*0.9</f>
        <v>135106803</v>
      </c>
      <c r="J47" s="42"/>
    </row>
    <row r="48" spans="3:20" x14ac:dyDescent="0.25">
      <c r="F48" s="42"/>
      <c r="G48" s="42"/>
      <c r="H48" s="48" t="s">
        <v>25</v>
      </c>
      <c r="I48" s="73">
        <f>I46*0.8</f>
        <v>120094936</v>
      </c>
      <c r="J48" s="42"/>
    </row>
    <row r="52" spans="4:10" x14ac:dyDescent="0.25">
      <c r="D52" s="6" t="s">
        <v>103</v>
      </c>
      <c r="E52" s="70"/>
      <c r="F52" s="6" t="s">
        <v>104</v>
      </c>
      <c r="G52" s="70"/>
    </row>
    <row r="53" spans="4:10" x14ac:dyDescent="0.25">
      <c r="D53" s="42" t="s">
        <v>77</v>
      </c>
      <c r="E53" s="53">
        <v>1098.69</v>
      </c>
      <c r="F53" s="42" t="s">
        <v>77</v>
      </c>
      <c r="G53" s="53">
        <v>955.32</v>
      </c>
    </row>
    <row r="54" spans="4:10" x14ac:dyDescent="0.25">
      <c r="D54" s="42" t="s">
        <v>102</v>
      </c>
      <c r="E54" s="53">
        <v>54000</v>
      </c>
      <c r="F54" s="42" t="s">
        <v>102</v>
      </c>
      <c r="G54" s="53">
        <v>54000</v>
      </c>
    </row>
    <row r="55" spans="4:10" x14ac:dyDescent="0.25">
      <c r="D55" s="48" t="s">
        <v>1</v>
      </c>
      <c r="E55" s="71">
        <f>E53*E54</f>
        <v>59329260</v>
      </c>
      <c r="F55" s="48" t="s">
        <v>1</v>
      </c>
      <c r="G55" s="71">
        <f>G53*G54</f>
        <v>51587280</v>
      </c>
    </row>
    <row r="56" spans="4:10" x14ac:dyDescent="0.25">
      <c r="E56" s="10"/>
      <c r="G56" s="10"/>
    </row>
    <row r="57" spans="4:10" x14ac:dyDescent="0.25">
      <c r="D57" s="42" t="s">
        <v>105</v>
      </c>
      <c r="E57" s="53">
        <f>I36</f>
        <v>507.94</v>
      </c>
      <c r="F57" s="42" t="s">
        <v>105</v>
      </c>
      <c r="G57" s="53">
        <f>I37</f>
        <v>297.51</v>
      </c>
    </row>
    <row r="58" spans="4:10" x14ac:dyDescent="0.25">
      <c r="D58" s="42" t="s">
        <v>73</v>
      </c>
      <c r="E58" s="53">
        <f>E54*0.4</f>
        <v>21600</v>
      </c>
      <c r="F58" s="42" t="s">
        <v>73</v>
      </c>
      <c r="G58" s="53">
        <f>G54*0.4</f>
        <v>21600</v>
      </c>
      <c r="I58" s="71" t="s">
        <v>72</v>
      </c>
      <c r="J58" s="71" t="s">
        <v>87</v>
      </c>
    </row>
    <row r="59" spans="4:10" x14ac:dyDescent="0.25">
      <c r="D59" s="48" t="s">
        <v>99</v>
      </c>
      <c r="E59" s="71">
        <f>E57*E58</f>
        <v>10971504</v>
      </c>
      <c r="F59" s="48" t="s">
        <v>99</v>
      </c>
      <c r="G59" s="71">
        <f>G57*G58</f>
        <v>6426216</v>
      </c>
      <c r="I59" s="53">
        <v>1098.69</v>
      </c>
      <c r="J59" s="53">
        <v>507.94</v>
      </c>
    </row>
    <row r="60" spans="4:10" x14ac:dyDescent="0.25">
      <c r="E60" s="10"/>
      <c r="G60" s="10"/>
      <c r="I60" s="53">
        <v>955.32</v>
      </c>
      <c r="J60" s="53">
        <v>297.51</v>
      </c>
    </row>
    <row r="61" spans="4:10" x14ac:dyDescent="0.25">
      <c r="D61" t="s">
        <v>100</v>
      </c>
      <c r="E61" s="10"/>
      <c r="G61" s="10"/>
    </row>
    <row r="62" spans="4:10" x14ac:dyDescent="0.25">
      <c r="D62" s="42" t="s">
        <v>106</v>
      </c>
      <c r="E62" s="53">
        <f>G36</f>
        <v>915.58</v>
      </c>
      <c r="F62" s="42" t="s">
        <v>106</v>
      </c>
      <c r="G62" s="53">
        <f>G37</f>
        <v>796.1</v>
      </c>
    </row>
    <row r="63" spans="4:10" x14ac:dyDescent="0.25">
      <c r="D63" s="42" t="s">
        <v>97</v>
      </c>
      <c r="E63" s="53">
        <v>3500</v>
      </c>
      <c r="F63" s="42" t="s">
        <v>97</v>
      </c>
      <c r="G63" s="53">
        <v>3500</v>
      </c>
    </row>
    <row r="64" spans="4:10" x14ac:dyDescent="0.25">
      <c r="D64" s="48" t="s">
        <v>100</v>
      </c>
      <c r="E64" s="71">
        <f>E62*E63</f>
        <v>3204530</v>
      </c>
      <c r="F64" s="48" t="s">
        <v>100</v>
      </c>
      <c r="G64" s="71">
        <f>G62*G63</f>
        <v>2786350</v>
      </c>
    </row>
    <row r="65" spans="4:17" x14ac:dyDescent="0.25">
      <c r="E65" s="10"/>
      <c r="G65" s="10"/>
    </row>
    <row r="66" spans="4:17" x14ac:dyDescent="0.25">
      <c r="D66" s="42" t="s">
        <v>107</v>
      </c>
      <c r="E66" s="53">
        <v>2</v>
      </c>
      <c r="F66" s="42" t="s">
        <v>107</v>
      </c>
      <c r="G66" s="53">
        <v>2</v>
      </c>
    </row>
    <row r="67" spans="4:17" x14ac:dyDescent="0.25">
      <c r="D67" s="42" t="s">
        <v>108</v>
      </c>
      <c r="E67" s="53">
        <v>2000000</v>
      </c>
      <c r="F67" s="42" t="s">
        <v>108</v>
      </c>
      <c r="G67" s="53">
        <v>2000000</v>
      </c>
    </row>
    <row r="68" spans="4:17" x14ac:dyDescent="0.25">
      <c r="D68" s="48" t="s">
        <v>109</v>
      </c>
      <c r="E68" s="71">
        <f>E66*E67</f>
        <v>4000000</v>
      </c>
      <c r="F68" s="48" t="s">
        <v>109</v>
      </c>
      <c r="G68" s="71">
        <f>G66*G67</f>
        <v>4000000</v>
      </c>
    </row>
    <row r="69" spans="4:17" x14ac:dyDescent="0.25">
      <c r="E69" s="10"/>
      <c r="G69" s="10"/>
    </row>
    <row r="70" spans="4:17" x14ac:dyDescent="0.25">
      <c r="D70" s="48" t="s">
        <v>101</v>
      </c>
      <c r="E70" s="71">
        <f>E68+E64+E59+E55</f>
        <v>77505294</v>
      </c>
      <c r="F70" s="48"/>
      <c r="G70" s="71">
        <f>G68+G64+G59+G55</f>
        <v>64799846</v>
      </c>
      <c r="H70" s="74">
        <f>G70+E70</f>
        <v>142305140</v>
      </c>
      <c r="I70" s="75" t="s">
        <v>110</v>
      </c>
      <c r="O70" t="s">
        <v>113</v>
      </c>
      <c r="P70" s="10">
        <v>150000000</v>
      </c>
    </row>
    <row r="71" spans="4:17" x14ac:dyDescent="0.25">
      <c r="E71" s="10"/>
      <c r="G71" s="10"/>
      <c r="H71" s="74">
        <f>H70*0.95</f>
        <v>135189883</v>
      </c>
      <c r="I71" s="75" t="s">
        <v>111</v>
      </c>
      <c r="P71" s="10">
        <f>P70*0.9</f>
        <v>135000000</v>
      </c>
      <c r="Q71">
        <f>P71/H71</f>
        <v>0.99859543483738356</v>
      </c>
    </row>
    <row r="72" spans="4:17" x14ac:dyDescent="0.25">
      <c r="E72" s="10"/>
      <c r="G72" s="10"/>
      <c r="H72" s="74">
        <f>H70*0.8</f>
        <v>113844112</v>
      </c>
      <c r="I72" s="75" t="s">
        <v>112</v>
      </c>
      <c r="P72" s="10">
        <f>P70*0.8</f>
        <v>120000000</v>
      </c>
    </row>
    <row r="73" spans="4:17" x14ac:dyDescent="0.25">
      <c r="E73" s="10"/>
      <c r="G73" s="10"/>
    </row>
    <row r="74" spans="4:17" x14ac:dyDescent="0.25">
      <c r="E74" s="10"/>
      <c r="G74" s="10"/>
      <c r="H74" s="66">
        <f>H70*0.03/12</f>
        <v>355762.85000000003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2024-02-29T15:10:54Z</dcterms:modified>
</cp:coreProperties>
</file>