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stukala Thane-Data\Valuation\Shayadri Industries\Report\"/>
    </mc:Choice>
  </mc:AlternateContent>
  <xr:revisionPtr revIDLastSave="0" documentId="13_ncr:1_{8A7F26A9-C8E8-4845-B75D-BD1865E199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&amp;M List Final" sheetId="4" r:id="rId1"/>
    <sheet name="Plant &amp; Machinery list" sheetId="2" state="hidden" r:id="rId2"/>
    <sheet name="Civil work list" sheetId="3" state="hidden" r:id="rId3"/>
    <sheet name="Pendiing Bill P&amp;M" sheetId="6" state="hidden" r:id="rId4"/>
  </sheets>
  <definedNames>
    <definedName name="_xlnm._FilterDatabase" localSheetId="0" hidden="1">'P&amp;M List Final'!$A$1:$I$12</definedName>
    <definedName name="_xlnm._FilterDatabase" localSheetId="1" hidden="1">'Plant &amp; Machinery list'!$B$5:$M$5</definedName>
    <definedName name="_xlnm.Print_Area" localSheetId="2">'Civil work list'!$A$1:$I$105</definedName>
    <definedName name="_xlnm.Print_Area" localSheetId="0">'P&amp;M List Final'!$A$1:$H$8</definedName>
    <definedName name="_xlnm.Print_Area" localSheetId="1">'Plant &amp; Machinery list'!$A$1:$J$125</definedName>
    <definedName name="_xlnm.Print_Titles" localSheetId="0">'P&amp;M List Final'!$1:$1</definedName>
    <definedName name="_xlnm.Print_Titles" localSheetId="1">'Plant &amp; Machinery list'!$5:$5</definedName>
  </definedNames>
  <calcPr calcId="191029"/>
</workbook>
</file>

<file path=xl/calcChain.xml><?xml version="1.0" encoding="utf-8"?>
<calcChain xmlns="http://schemas.openxmlformats.org/spreadsheetml/2006/main">
  <c r="I3" i="4" l="1"/>
  <c r="A5" i="4"/>
  <c r="A6" i="4" s="1"/>
  <c r="A7" i="4" s="1"/>
  <c r="A8" i="4" s="1"/>
  <c r="A3" i="4"/>
  <c r="I8" i="4"/>
  <c r="I7" i="4"/>
  <c r="I6" i="4"/>
  <c r="I5" i="4"/>
  <c r="I2" i="4"/>
  <c r="I4" i="4"/>
  <c r="I9" i="4" l="1"/>
  <c r="H9" i="4"/>
  <c r="H15" i="4" s="1"/>
  <c r="I21" i="6"/>
  <c r="H21" i="6"/>
  <c r="G21" i="6"/>
  <c r="F21" i="6"/>
  <c r="I10" i="4" l="1"/>
  <c r="I15" i="4"/>
  <c r="I12" i="4"/>
  <c r="I11" i="4"/>
  <c r="I103" i="3"/>
  <c r="H105" i="3"/>
  <c r="A7" i="3"/>
  <c r="I125" i="2"/>
  <c r="I97" i="3"/>
  <c r="I96" i="3"/>
  <c r="I22" i="3"/>
  <c r="I87" i="3"/>
  <c r="G102" i="3"/>
  <c r="I102" i="3" s="1"/>
  <c r="G103" i="3"/>
  <c r="G100" i="3"/>
  <c r="I100" i="3" s="1"/>
  <c r="G27" i="3"/>
  <c r="I27" i="3" s="1"/>
  <c r="G13" i="3"/>
  <c r="I13" i="3" s="1"/>
  <c r="G11" i="3"/>
  <c r="I11" i="3" s="1"/>
  <c r="G9" i="3"/>
  <c r="F98" i="3"/>
  <c r="G76" i="3"/>
  <c r="I76" i="3" s="1"/>
  <c r="G73" i="3"/>
  <c r="I73" i="3" s="1"/>
  <c r="F70" i="3"/>
  <c r="G70" i="3" s="1"/>
  <c r="G72" i="3"/>
  <c r="I72" i="3" s="1"/>
  <c r="F46" i="3"/>
  <c r="G94" i="3"/>
  <c r="I94" i="3" s="1"/>
  <c r="F84" i="3"/>
  <c r="F83" i="3"/>
  <c r="F82" i="3"/>
  <c r="G82" i="3" s="1"/>
  <c r="F90" i="3"/>
  <c r="G69" i="3"/>
  <c r="I69" i="3" s="1"/>
  <c r="F68" i="3"/>
  <c r="G68" i="3" s="1"/>
  <c r="I68" i="3" s="1"/>
  <c r="F64" i="3"/>
  <c r="G64" i="3" s="1"/>
  <c r="F63" i="3"/>
  <c r="F62" i="3"/>
  <c r="F58" i="3"/>
  <c r="G58" i="3" s="1"/>
  <c r="I58" i="3" s="1"/>
  <c r="G57" i="3"/>
  <c r="I57" i="3" s="1"/>
  <c r="G52" i="3"/>
  <c r="I52" i="3" s="1"/>
  <c r="F51" i="3"/>
  <c r="G51" i="3" s="1"/>
  <c r="G49" i="3"/>
  <c r="I49" i="3" s="1"/>
  <c r="G47" i="3"/>
  <c r="I47" i="3" s="1"/>
  <c r="F45" i="3"/>
  <c r="F43" i="3"/>
  <c r="G43" i="3" s="1"/>
  <c r="F42" i="3"/>
  <c r="G42" i="3" s="1"/>
  <c r="I42" i="3" s="1"/>
  <c r="F40" i="3"/>
  <c r="G40" i="3" s="1"/>
  <c r="G37" i="3"/>
  <c r="I37" i="3" s="1"/>
  <c r="F36" i="3"/>
  <c r="G36" i="3" s="1"/>
  <c r="G104" i="3"/>
  <c r="I104" i="3" s="1"/>
  <c r="G55" i="3"/>
  <c r="I55" i="3" s="1"/>
  <c r="G54" i="3"/>
  <c r="I54" i="3" s="1"/>
  <c r="G53" i="3"/>
  <c r="G75" i="3"/>
  <c r="I75" i="3" s="1"/>
  <c r="G19" i="3"/>
  <c r="G101" i="3"/>
  <c r="I101" i="3" s="1"/>
  <c r="G95" i="3"/>
  <c r="I95" i="3" s="1"/>
  <c r="G89" i="3"/>
  <c r="I89" i="3" s="1"/>
  <c r="G78" i="3"/>
  <c r="I78" i="3" s="1"/>
  <c r="G74" i="3"/>
  <c r="I74" i="3" s="1"/>
  <c r="G67" i="3"/>
  <c r="I67" i="3" s="1"/>
  <c r="G66" i="3"/>
  <c r="I66" i="3" s="1"/>
  <c r="G65" i="3"/>
  <c r="I65" i="3" s="1"/>
  <c r="G61" i="3"/>
  <c r="I61" i="3" s="1"/>
  <c r="G60" i="3"/>
  <c r="I60" i="3" s="1"/>
  <c r="G59" i="3"/>
  <c r="I59" i="3" s="1"/>
  <c r="G41" i="3"/>
  <c r="I41" i="3" s="1"/>
  <c r="G14" i="3"/>
  <c r="I14" i="3" s="1"/>
  <c r="G88" i="3"/>
  <c r="I88" i="3" s="1"/>
  <c r="G10" i="3"/>
  <c r="I10" i="3" s="1"/>
  <c r="G8" i="3"/>
  <c r="G15" i="3"/>
  <c r="I15" i="3" s="1"/>
  <c r="G79" i="3"/>
  <c r="I79" i="3" s="1"/>
  <c r="G39" i="3"/>
  <c r="I39" i="3" s="1"/>
  <c r="G32" i="3"/>
  <c r="G99" i="3"/>
  <c r="I99" i="3" s="1"/>
  <c r="G93" i="3"/>
  <c r="I93" i="3" s="1"/>
  <c r="G92" i="3"/>
  <c r="I92" i="3" s="1"/>
  <c r="G91" i="3"/>
  <c r="I91" i="3" s="1"/>
  <c r="G86" i="3"/>
  <c r="I86" i="3" s="1"/>
  <c r="G85" i="3"/>
  <c r="I85" i="3" s="1"/>
  <c r="G81" i="3"/>
  <c r="I81" i="3" s="1"/>
  <c r="G80" i="3"/>
  <c r="I80" i="3" s="1"/>
  <c r="G77" i="3"/>
  <c r="I77" i="3" s="1"/>
  <c r="G71" i="3"/>
  <c r="I71" i="3" s="1"/>
  <c r="G56" i="3"/>
  <c r="I56" i="3" s="1"/>
  <c r="G50" i="3"/>
  <c r="I50" i="3" s="1"/>
  <c r="G48" i="3"/>
  <c r="I48" i="3" s="1"/>
  <c r="G44" i="3"/>
  <c r="I44" i="3" s="1"/>
  <c r="G38" i="3"/>
  <c r="I38" i="3" s="1"/>
  <c r="G35" i="3"/>
  <c r="I35" i="3" s="1"/>
  <c r="G34" i="3"/>
  <c r="I34" i="3" s="1"/>
  <c r="G33" i="3"/>
  <c r="I33" i="3" s="1"/>
  <c r="G31" i="3"/>
  <c r="I31" i="3" s="1"/>
  <c r="G30" i="3"/>
  <c r="I30" i="3" s="1"/>
  <c r="G28" i="3"/>
  <c r="I28" i="3" s="1"/>
  <c r="G26" i="3"/>
  <c r="I26" i="3" s="1"/>
  <c r="G25" i="3"/>
  <c r="I25" i="3" s="1"/>
  <c r="G24" i="3"/>
  <c r="I24" i="3" s="1"/>
  <c r="G21" i="3"/>
  <c r="I21" i="3" s="1"/>
  <c r="G20" i="3"/>
  <c r="I20" i="3" s="1"/>
  <c r="G12" i="3"/>
  <c r="G29" i="3"/>
  <c r="I29" i="3" s="1"/>
  <c r="G23" i="3"/>
  <c r="I23" i="3" s="1"/>
  <c r="G18" i="3"/>
  <c r="I18" i="3" s="1"/>
  <c r="G17" i="3"/>
  <c r="I17" i="3" s="1"/>
  <c r="G16" i="3"/>
  <c r="I16" i="3" s="1"/>
  <c r="G7" i="3"/>
  <c r="F105" i="3" l="1"/>
  <c r="I43" i="3"/>
  <c r="I51" i="3"/>
  <c r="I64" i="3"/>
  <c r="G46" i="3"/>
  <c r="I40" i="3"/>
  <c r="G62" i="3"/>
  <c r="I62" i="3" s="1"/>
  <c r="G90" i="3"/>
  <c r="I90" i="3" s="1"/>
  <c r="G83" i="3"/>
  <c r="I83" i="3" s="1"/>
  <c r="G98" i="3"/>
  <c r="I36" i="3"/>
  <c r="I82" i="3"/>
  <c r="I70" i="3"/>
  <c r="I7" i="3"/>
  <c r="I12" i="3"/>
  <c r="G45" i="3"/>
  <c r="G63" i="3"/>
  <c r="I63" i="3" s="1"/>
  <c r="G84" i="3"/>
  <c r="I84" i="3" s="1"/>
  <c r="I9" i="3"/>
  <c r="I32" i="3"/>
  <c r="I8" i="3"/>
  <c r="I19" i="3"/>
  <c r="I53" i="3"/>
  <c r="G105" i="3" l="1"/>
  <c r="I98" i="3"/>
  <c r="I46" i="3"/>
  <c r="I45" i="3"/>
  <c r="I105" i="3" s="1"/>
  <c r="J105" i="3" s="1"/>
  <c r="H120" i="2" l="1"/>
  <c r="J120" i="2" s="1"/>
  <c r="H119" i="2"/>
  <c r="J119" i="2" s="1"/>
  <c r="H118" i="2"/>
  <c r="J118" i="2" s="1"/>
  <c r="H124" i="2" l="1"/>
  <c r="J124" i="2" s="1"/>
  <c r="H96" i="2"/>
  <c r="J96" i="2" s="1"/>
  <c r="H116" i="2"/>
  <c r="J116" i="2" s="1"/>
  <c r="J121" i="2"/>
  <c r="J123" i="2"/>
  <c r="H122" i="2"/>
  <c r="J122" i="2" s="1"/>
  <c r="H88" i="2"/>
  <c r="J88" i="2" s="1"/>
  <c r="H117" i="2" l="1"/>
  <c r="J117" i="2" s="1"/>
  <c r="J112" i="2"/>
  <c r="J113" i="2"/>
  <c r="J114" i="2"/>
  <c r="H115" i="2"/>
  <c r="J115" i="2" s="1"/>
  <c r="H87" i="2"/>
  <c r="J87" i="2" s="1"/>
  <c r="J102" i="2"/>
  <c r="J103" i="2"/>
  <c r="J104" i="2"/>
  <c r="J109" i="2"/>
  <c r="J110" i="2"/>
  <c r="J111" i="2"/>
  <c r="H106" i="2"/>
  <c r="J106" i="2" s="1"/>
  <c r="H107" i="2"/>
  <c r="J107" i="2" s="1"/>
  <c r="H108" i="2"/>
  <c r="J108" i="2" s="1"/>
  <c r="H100" i="2"/>
  <c r="J100" i="2" s="1"/>
  <c r="H101" i="2"/>
  <c r="J101" i="2" s="1"/>
  <c r="H105" i="2"/>
  <c r="J105" i="2" s="1"/>
  <c r="H99" i="2"/>
  <c r="J99" i="2" s="1"/>
  <c r="H98" i="2"/>
  <c r="J98" i="2" s="1"/>
  <c r="H97" i="2"/>
  <c r="J97" i="2" s="1"/>
  <c r="G95" i="2"/>
  <c r="H95" i="2" s="1"/>
  <c r="G94" i="2"/>
  <c r="H94" i="2" s="1"/>
  <c r="J94" i="2" s="1"/>
  <c r="G93" i="2"/>
  <c r="H93" i="2" s="1"/>
  <c r="G92" i="2"/>
  <c r="H92" i="2" s="1"/>
  <c r="J92" i="2" s="1"/>
  <c r="G91" i="2"/>
  <c r="H91" i="2" s="1"/>
  <c r="G90" i="2"/>
  <c r="G89" i="2"/>
  <c r="J86" i="2"/>
  <c r="H85" i="2"/>
  <c r="J50" i="2"/>
  <c r="J36" i="2"/>
  <c r="J55" i="2"/>
  <c r="J54" i="2"/>
  <c r="J46" i="2"/>
  <c r="J62" i="2"/>
  <c r="J61" i="2"/>
  <c r="J60" i="2"/>
  <c r="J70" i="2"/>
  <c r="J71" i="2"/>
  <c r="J72" i="2"/>
  <c r="J73" i="2"/>
  <c r="J74" i="2"/>
  <c r="J75" i="2"/>
  <c r="J76" i="2"/>
  <c r="J80" i="2"/>
  <c r="J81" i="2"/>
  <c r="J83" i="2"/>
  <c r="J32" i="2"/>
  <c r="J44" i="2"/>
  <c r="J45" i="2"/>
  <c r="J51" i="2"/>
  <c r="H7" i="2"/>
  <c r="J7" i="2" s="1"/>
  <c r="J85" i="2" l="1"/>
  <c r="J91" i="2"/>
  <c r="J93" i="2"/>
  <c r="J95" i="2"/>
  <c r="G84" i="2"/>
  <c r="H84" i="2" s="1"/>
  <c r="J84" i="2" s="1"/>
  <c r="H90" i="2"/>
  <c r="J90" i="2" s="1"/>
  <c r="H89" i="2"/>
  <c r="J89" i="2" s="1"/>
  <c r="H56" i="2" l="1"/>
  <c r="J56" i="2" s="1"/>
  <c r="G79" i="2"/>
  <c r="H35" i="2"/>
  <c r="J35" i="2" s="1"/>
  <c r="H19" i="2"/>
  <c r="J19" i="2" s="1"/>
  <c r="H18" i="2"/>
  <c r="J18" i="2" s="1"/>
  <c r="H15" i="2"/>
  <c r="J15" i="2" s="1"/>
  <c r="H14" i="2"/>
  <c r="J14" i="2" s="1"/>
  <c r="H13" i="2"/>
  <c r="J13" i="2" s="1"/>
  <c r="H12" i="2"/>
  <c r="J12" i="2" s="1"/>
  <c r="H9" i="2"/>
  <c r="J9" i="2" s="1"/>
  <c r="H8" i="2"/>
  <c r="H33" i="2"/>
  <c r="J33" i="2" s="1"/>
  <c r="H22" i="2"/>
  <c r="J22" i="2" s="1"/>
  <c r="H21" i="2"/>
  <c r="J21" i="2" s="1"/>
  <c r="H20" i="2"/>
  <c r="J20" i="2" s="1"/>
  <c r="H17" i="2"/>
  <c r="J17" i="2" s="1"/>
  <c r="H16" i="2"/>
  <c r="J16" i="2" s="1"/>
  <c r="H11" i="2"/>
  <c r="J10" i="2"/>
  <c r="H31" i="2"/>
  <c r="J31" i="2" s="1"/>
  <c r="H30" i="2"/>
  <c r="J30" i="2" s="1"/>
  <c r="H29" i="2"/>
  <c r="J29" i="2" s="1"/>
  <c r="G28" i="2"/>
  <c r="H27" i="2"/>
  <c r="J27" i="2" s="1"/>
  <c r="J43" i="2"/>
  <c r="J42" i="2"/>
  <c r="J41" i="2"/>
  <c r="J40" i="2"/>
  <c r="J39" i="2"/>
  <c r="H26" i="2"/>
  <c r="J26" i="2" s="1"/>
  <c r="H25" i="2"/>
  <c r="J25" i="2" s="1"/>
  <c r="H24" i="2"/>
  <c r="J24" i="2" s="1"/>
  <c r="H23" i="2"/>
  <c r="H82" i="2"/>
  <c r="J82" i="2" s="1"/>
  <c r="H53" i="2"/>
  <c r="J53" i="2" s="1"/>
  <c r="H52" i="2"/>
  <c r="J38" i="2"/>
  <c r="J49" i="2"/>
  <c r="H78" i="2"/>
  <c r="J78" i="2" s="1"/>
  <c r="H77" i="2"/>
  <c r="J77" i="2" s="1"/>
  <c r="H69" i="2"/>
  <c r="J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59" i="2"/>
  <c r="J59" i="2" s="1"/>
  <c r="H58" i="2"/>
  <c r="J58" i="2" s="1"/>
  <c r="H57" i="2"/>
  <c r="J48" i="2"/>
  <c r="J47" i="2"/>
  <c r="J37" i="2"/>
  <c r="J34" i="2"/>
  <c r="H28" i="2" l="1"/>
  <c r="J28" i="2" s="1"/>
  <c r="G125" i="2"/>
  <c r="J57" i="2"/>
  <c r="J23" i="2"/>
  <c r="J52" i="2"/>
  <c r="J11" i="2"/>
  <c r="H79" i="2"/>
  <c r="J8" i="2"/>
  <c r="H125" i="2" l="1"/>
  <c r="J79" i="2"/>
  <c r="J125" i="2" s="1"/>
  <c r="A7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</calcChain>
</file>

<file path=xl/sharedStrings.xml><?xml version="1.0" encoding="utf-8"?>
<sst xmlns="http://schemas.openxmlformats.org/spreadsheetml/2006/main" count="893" uniqueCount="389">
  <si>
    <t/>
  </si>
  <si>
    <t>GSTIN/UIN</t>
  </si>
  <si>
    <t>Stackers &amp; Movers (I) Mfg. Co., Ahmedabad</t>
  </si>
  <si>
    <t>24AJBPB7458H1ZE</t>
  </si>
  <si>
    <t>Lohia Corp Limited, Kanpur</t>
  </si>
  <si>
    <t>09AAACL2470J1ZG</t>
  </si>
  <si>
    <t>Prasad Koch- Technik Pvt. Ltd., Ahmedabad</t>
  </si>
  <si>
    <t>24AAACP6751G1ZJ</t>
  </si>
  <si>
    <t>Prasad GWK Cooltech Pvt. Ltd., Ahmedabad</t>
  </si>
  <si>
    <t>24AABCP4965D1ZK</t>
  </si>
  <si>
    <t>A.S.(E) Exports Pvt. Ltd., Banglore</t>
  </si>
  <si>
    <t>29AADCA8455F1ZI</t>
  </si>
  <si>
    <t>SAR Industries, Ahmedabad</t>
  </si>
  <si>
    <t>24ABZFS4746H1ZI</t>
  </si>
  <si>
    <t>Ginza Machinery MFG. Co., Ahmedabad</t>
  </si>
  <si>
    <t>24AAAFG5650J1ZJ</t>
  </si>
  <si>
    <t>Navrang Machinery Pvt. Ltd., Ahmedabad</t>
  </si>
  <si>
    <t>24AADCN8719P1ZV</t>
  </si>
  <si>
    <t>T/L A/C</t>
  </si>
  <si>
    <t>TAPE PLANT</t>
  </si>
  <si>
    <t>CHEESE WINDER</t>
  </si>
  <si>
    <t>HIGH TENSILE BLACK BOBBIN</t>
  </si>
  <si>
    <t>PENAL BOX</t>
  </si>
  <si>
    <t>STICHING TABLE</t>
  </si>
  <si>
    <t>ELE CLUTCH MOTOR</t>
  </si>
  <si>
    <t>CABLE</t>
  </si>
  <si>
    <t>GUSSET M/C</t>
  </si>
  <si>
    <t>WATER CHILLER</t>
  </si>
  <si>
    <t>PALLET TROLLY</t>
  </si>
  <si>
    <t>TG0921020226</t>
  </si>
  <si>
    <t>TG0921020229</t>
  </si>
  <si>
    <t xml:space="preserve">TG0921019851 </t>
  </si>
  <si>
    <t>2133</t>
  </si>
  <si>
    <t>DOUBLE NEEDLE</t>
  </si>
  <si>
    <t>STEEL STAND</t>
  </si>
  <si>
    <t>1329</t>
  </si>
  <si>
    <t>TG0921019615</t>
  </si>
  <si>
    <t>CHAIN STITCHING M/C</t>
  </si>
  <si>
    <t>Fair Electric Co., Indore</t>
  </si>
  <si>
    <t>2548</t>
  </si>
  <si>
    <t>23ACHPT3308F1ZU</t>
  </si>
  <si>
    <t>CKB-AR21229211</t>
  </si>
  <si>
    <t>961</t>
  </si>
  <si>
    <t>BEBY LADDER &amp; TROLLY</t>
  </si>
  <si>
    <t>144</t>
  </si>
  <si>
    <t>BALE PRESS 60TON M/C</t>
  </si>
  <si>
    <t>BALE PRESS 20TON M/C</t>
  </si>
  <si>
    <t>CHEESE PIPE STRAIGHTER</t>
  </si>
  <si>
    <t>Adarsh Tyres &amp; Tread Pvt. Ltd., Gwalior</t>
  </si>
  <si>
    <t>GWL/896</t>
  </si>
  <si>
    <t>23AAECA8192L1ZE</t>
  </si>
  <si>
    <t>SCREW COMPRESSOR</t>
  </si>
  <si>
    <t>ELGI MAKE AIR DRYER</t>
  </si>
  <si>
    <t>AIR RECEVER VAR</t>
  </si>
  <si>
    <t>AIR COMPRESSOR</t>
  </si>
  <si>
    <t>R. K. Trading Co., Indore</t>
  </si>
  <si>
    <t>4766</t>
  </si>
  <si>
    <t>23AACFR0554J1ZF</t>
  </si>
  <si>
    <t>4399</t>
  </si>
  <si>
    <t>LED LIGHT</t>
  </si>
  <si>
    <t>4350</t>
  </si>
  <si>
    <t>2347</t>
  </si>
  <si>
    <t>2346</t>
  </si>
  <si>
    <t>4308</t>
  </si>
  <si>
    <t>4204</t>
  </si>
  <si>
    <t>TRISHA  EARTHING ELECTRODE</t>
  </si>
  <si>
    <t>2224</t>
  </si>
  <si>
    <t>2217</t>
  </si>
  <si>
    <t>2216</t>
  </si>
  <si>
    <t>2215</t>
  </si>
  <si>
    <t>4400</t>
  </si>
  <si>
    <t>4093</t>
  </si>
  <si>
    <t>CHEMICAL BAG FOR EARTHING</t>
  </si>
  <si>
    <t>4090</t>
  </si>
  <si>
    <t>COPPER STRIP, LED LIGHT &amp; MCB</t>
  </si>
  <si>
    <t>2143</t>
  </si>
  <si>
    <t>2140</t>
  </si>
  <si>
    <t>MAC/00578</t>
  </si>
  <si>
    <t>MAC/00878</t>
  </si>
  <si>
    <t>HOT AIR DRYER</t>
  </si>
  <si>
    <t>TG0921021022</t>
  </si>
  <si>
    <t>TG0921020949</t>
  </si>
  <si>
    <t>TG0921020948</t>
  </si>
  <si>
    <t>TG0921021115</t>
  </si>
  <si>
    <t>TG0921021116</t>
  </si>
  <si>
    <t>TG0921021117</t>
  </si>
  <si>
    <t>TG0921021118</t>
  </si>
  <si>
    <t>TG0921021119</t>
  </si>
  <si>
    <t>TG0921021120</t>
  </si>
  <si>
    <t>TG0921021147</t>
  </si>
  <si>
    <t>TG0921021437</t>
  </si>
  <si>
    <t>TG0921021448</t>
  </si>
  <si>
    <t>153</t>
  </si>
  <si>
    <t>23AADCG0485H1ZU</t>
  </si>
  <si>
    <t>POLE LOGHT BOX</t>
  </si>
  <si>
    <t>SD Electrical &amp; Engineers, Dhar</t>
  </si>
  <si>
    <t>317</t>
  </si>
  <si>
    <t>23AJYPJ1840L1ZU</t>
  </si>
  <si>
    <t>SUPPLY OF MS POWDER COATED DUCT</t>
  </si>
  <si>
    <t>MAC/00930</t>
  </si>
  <si>
    <t>Ank Engineers Private Limited, Indore</t>
  </si>
  <si>
    <t>34</t>
  </si>
  <si>
    <t>Civil Construction Work</t>
  </si>
  <si>
    <t>38</t>
  </si>
  <si>
    <t>39</t>
  </si>
  <si>
    <t>41</t>
  </si>
  <si>
    <t>44</t>
  </si>
  <si>
    <t>Infinity Fabtech Private Limited, Indore</t>
  </si>
  <si>
    <t>280</t>
  </si>
  <si>
    <t>Shed Material</t>
  </si>
  <si>
    <t>456</t>
  </si>
  <si>
    <t>459</t>
  </si>
  <si>
    <t>470</t>
  </si>
  <si>
    <t>487</t>
  </si>
  <si>
    <t>496</t>
  </si>
  <si>
    <t>503</t>
  </si>
  <si>
    <t>1</t>
  </si>
  <si>
    <t>014</t>
  </si>
  <si>
    <t>068</t>
  </si>
  <si>
    <t>074</t>
  </si>
  <si>
    <t>081</t>
  </si>
  <si>
    <t>094</t>
  </si>
  <si>
    <t>102</t>
  </si>
  <si>
    <t>Puranmal Sons, Indore</t>
  </si>
  <si>
    <t>1061</t>
  </si>
  <si>
    <t>DWC PIPE</t>
  </si>
  <si>
    <t>646</t>
  </si>
  <si>
    <t>137</t>
  </si>
  <si>
    <t>161</t>
  </si>
  <si>
    <t>191</t>
  </si>
  <si>
    <t>228</t>
  </si>
  <si>
    <t>309</t>
  </si>
  <si>
    <t>343</t>
  </si>
  <si>
    <t>378</t>
  </si>
  <si>
    <t>413</t>
  </si>
  <si>
    <t>S.D. Bansal Iron &amp; Steel Pvt.Ltd., Mandideep</t>
  </si>
  <si>
    <t>1326</t>
  </si>
  <si>
    <t>TMT BAR</t>
  </si>
  <si>
    <t>Wonder Cement Limited, Chittorgarh</t>
  </si>
  <si>
    <t>NBH21INV109808</t>
  </si>
  <si>
    <t>Cement</t>
  </si>
  <si>
    <t>Rajendra Singh Jat, Guna</t>
  </si>
  <si>
    <t>14</t>
  </si>
  <si>
    <t>NBH21INV125628</t>
  </si>
  <si>
    <t>18</t>
  </si>
  <si>
    <t>Vinod Gurjar, Guna</t>
  </si>
  <si>
    <t>Bricks</t>
  </si>
  <si>
    <t>NBH21INV134483</t>
  </si>
  <si>
    <t>19</t>
  </si>
  <si>
    <t>NBH21INV144159</t>
  </si>
  <si>
    <t>Bansal Steel Manufacturing Pvt. Ltd.,Mandideep</t>
  </si>
  <si>
    <t>1037</t>
  </si>
  <si>
    <t>Vijay Singh Gurjar, Guna</t>
  </si>
  <si>
    <t>0</t>
  </si>
  <si>
    <t>Shri Maheshwari Mills, Guna</t>
  </si>
  <si>
    <t>53</t>
  </si>
  <si>
    <t>49</t>
  </si>
  <si>
    <t>Aggrigate</t>
  </si>
  <si>
    <t>Umang Hardware, Guna</t>
  </si>
  <si>
    <t>237</t>
  </si>
  <si>
    <t>239</t>
  </si>
  <si>
    <t>286</t>
  </si>
  <si>
    <t>Material</t>
  </si>
  <si>
    <t>NBH21INV039237</t>
  </si>
  <si>
    <t>332</t>
  </si>
  <si>
    <t>Navkar Enterprises, Indore</t>
  </si>
  <si>
    <t>NAV/0149</t>
  </si>
  <si>
    <t>474</t>
  </si>
  <si>
    <t>517</t>
  </si>
  <si>
    <t>544</t>
  </si>
  <si>
    <t>761</t>
  </si>
  <si>
    <t>767</t>
  </si>
  <si>
    <t>ACC Limited, Bundi</t>
  </si>
  <si>
    <t>N201082101004174</t>
  </si>
  <si>
    <t>ACC Limited, Ashoknagar</t>
  </si>
  <si>
    <t>N4LL232101000029</t>
  </si>
  <si>
    <t>N4LL232101000028</t>
  </si>
  <si>
    <t>875</t>
  </si>
  <si>
    <t>886</t>
  </si>
  <si>
    <t>C.R. Sheet</t>
  </si>
  <si>
    <t>M.S. Flat</t>
  </si>
  <si>
    <t>G.I./M.S. Wire</t>
  </si>
  <si>
    <t>NBH22INV083043</t>
  </si>
  <si>
    <t>NBH22INV083593</t>
  </si>
  <si>
    <t>NBH22INV083668</t>
  </si>
  <si>
    <t>977</t>
  </si>
  <si>
    <t>990</t>
  </si>
  <si>
    <t>1049</t>
  </si>
  <si>
    <t>NBH22INV090502</t>
  </si>
  <si>
    <t>NBH22INV092045</t>
  </si>
  <si>
    <t>NBH22INV094588</t>
  </si>
  <si>
    <t>1189</t>
  </si>
  <si>
    <t>G.P. Sheet</t>
  </si>
  <si>
    <t>1206</t>
  </si>
  <si>
    <t>Accurate Industries, Indore</t>
  </si>
  <si>
    <t>36</t>
  </si>
  <si>
    <t>Rolling Shutter</t>
  </si>
  <si>
    <t>43</t>
  </si>
  <si>
    <t>NAV/0328</t>
  </si>
  <si>
    <t xml:space="preserve">Shali Floor </t>
  </si>
  <si>
    <t>NBH22INV106015</t>
  </si>
  <si>
    <t>08</t>
  </si>
  <si>
    <t>046</t>
  </si>
  <si>
    <t>NBH22INV113922</t>
  </si>
  <si>
    <t>160</t>
  </si>
  <si>
    <t>Gayatri Febricators Pvt. Ltd., Gwalior</t>
  </si>
  <si>
    <t>3767</t>
  </si>
  <si>
    <t>3057</t>
  </si>
  <si>
    <t>24GBIPS9156L2ZS</t>
  </si>
  <si>
    <t>White Wave Logistic,Ahmedabad</t>
  </si>
  <si>
    <t>AHMEDABAD LOGISTICS,AHMEDABAD</t>
  </si>
  <si>
    <t>Kataria Carriers, Kanpur</t>
  </si>
  <si>
    <t>All India Roadways,Ahmedabad</t>
  </si>
  <si>
    <t>24CPAPS2281E2Z2</t>
  </si>
  <si>
    <t>24CMSPM5458A2ZV</t>
  </si>
  <si>
    <t>09ACOPM8843R1ZD</t>
  </si>
  <si>
    <t>07AACFK6769Q1ZH</t>
  </si>
  <si>
    <t>2114</t>
  </si>
  <si>
    <t>950</t>
  </si>
  <si>
    <t>952</t>
  </si>
  <si>
    <t>49067</t>
  </si>
  <si>
    <t>49066</t>
  </si>
  <si>
    <t>2512852</t>
  </si>
  <si>
    <t>975</t>
  </si>
  <si>
    <t>973</t>
  </si>
  <si>
    <t>2512899</t>
  </si>
  <si>
    <t>49324</t>
  </si>
  <si>
    <t>49322</t>
  </si>
  <si>
    <t>49321</t>
  </si>
  <si>
    <t>49351</t>
  </si>
  <si>
    <t>49352</t>
  </si>
  <si>
    <t>49353</t>
  </si>
  <si>
    <t>49354</t>
  </si>
  <si>
    <t>49355</t>
  </si>
  <si>
    <t>49356</t>
  </si>
  <si>
    <t>49357</t>
  </si>
  <si>
    <t>49359</t>
  </si>
  <si>
    <t>49358</t>
  </si>
  <si>
    <t>Transport Charge</t>
  </si>
  <si>
    <t>453</t>
  </si>
  <si>
    <t>460</t>
  </si>
  <si>
    <t>TG0921023002</t>
  </si>
  <si>
    <t>49500</t>
  </si>
  <si>
    <t>NBH22INV133773</t>
  </si>
  <si>
    <t>1893</t>
  </si>
  <si>
    <t>TMT Bar/Round Bar</t>
  </si>
  <si>
    <t>511</t>
  </si>
  <si>
    <t>R K SANITATION, GUNA</t>
  </si>
  <si>
    <t>B-400</t>
  </si>
  <si>
    <t>23AKGPA8195A1ZK</t>
  </si>
  <si>
    <t>Sanitation</t>
  </si>
  <si>
    <t>B-401</t>
  </si>
  <si>
    <t>B-402</t>
  </si>
  <si>
    <t>B-451</t>
  </si>
  <si>
    <t>B-454</t>
  </si>
  <si>
    <t>B-458</t>
  </si>
  <si>
    <t>B-459</t>
  </si>
  <si>
    <t>B-467</t>
  </si>
  <si>
    <t>B-469</t>
  </si>
  <si>
    <t>B-470</t>
  </si>
  <si>
    <t>TG0921025208</t>
  </si>
  <si>
    <t>TG0921025209</t>
  </si>
  <si>
    <t>TG0921025210</t>
  </si>
  <si>
    <t>TG0921025214</t>
  </si>
  <si>
    <t>TG0921025216</t>
  </si>
  <si>
    <t>TG0921025342</t>
  </si>
  <si>
    <t>TG0921025354</t>
  </si>
  <si>
    <t>TG0921025353</t>
  </si>
  <si>
    <t>TG0921025352</t>
  </si>
  <si>
    <t>49693</t>
  </si>
  <si>
    <t>49694</t>
  </si>
  <si>
    <t>49695</t>
  </si>
  <si>
    <t>49696</t>
  </si>
  <si>
    <t>49697</t>
  </si>
  <si>
    <t>49698</t>
  </si>
  <si>
    <t>Lohia Corp Limited,Ahmedabad</t>
  </si>
  <si>
    <t>TS2421000779</t>
  </si>
  <si>
    <t>24AAACL2470J1ZO</t>
  </si>
  <si>
    <t>Errection &amp; Comm.</t>
  </si>
  <si>
    <t>Lohia Corp Limited,Kanpur</t>
  </si>
  <si>
    <t>TS0921001399</t>
  </si>
  <si>
    <t>NBH22INV140683</t>
  </si>
  <si>
    <t>49876</t>
  </si>
  <si>
    <t>49877</t>
  </si>
  <si>
    <t>National Carrying Corporation, Kanpur</t>
  </si>
  <si>
    <t>GRAVIMETRIC DOSING MIXXING &amp; HOPPER LOADER</t>
  </si>
  <si>
    <t>TG0921026345</t>
  </si>
  <si>
    <t>VALVOMATIC MACHINE</t>
  </si>
  <si>
    <t>Prahlad Singh Gurjar, Guna</t>
  </si>
  <si>
    <t>GWL/1209</t>
  </si>
  <si>
    <t>AIR COMPRESSOR , AIR RECEIVER</t>
  </si>
  <si>
    <t>Leena Extrusion, Ahmedabad</t>
  </si>
  <si>
    <t>16</t>
  </si>
  <si>
    <t>24BNZPS1712O1ZZ</t>
  </si>
  <si>
    <t>THREE LAYER BLON FILM PLANT</t>
  </si>
  <si>
    <t>Shrusti Freight Carrior, Ahmedabad</t>
  </si>
  <si>
    <t>AHTPY9367N</t>
  </si>
  <si>
    <t>896</t>
  </si>
  <si>
    <t>574</t>
  </si>
  <si>
    <t>2513773</t>
  </si>
  <si>
    <t>100</t>
  </si>
  <si>
    <t>98</t>
  </si>
  <si>
    <t>Sakshi Traders, Guna</t>
  </si>
  <si>
    <t>870</t>
  </si>
  <si>
    <t>23AGGPB0035J1Z2</t>
  </si>
  <si>
    <t>M/C PIPE FITTING</t>
  </si>
  <si>
    <t>Mangal Hardwear, Guna</t>
  </si>
  <si>
    <t>84</t>
  </si>
  <si>
    <t>PAINT</t>
  </si>
  <si>
    <t>TS2421000821</t>
  </si>
  <si>
    <t>NBH22INV154860</t>
  </si>
  <si>
    <t>140</t>
  </si>
  <si>
    <t>Jain Marbles &amp; Stone Industries, Guna</t>
  </si>
  <si>
    <t>288</t>
  </si>
  <si>
    <t>Marbles/Tals</t>
  </si>
  <si>
    <t>494</t>
  </si>
  <si>
    <t>506</t>
  </si>
  <si>
    <t>TS2421000909</t>
  </si>
  <si>
    <t>B-495</t>
  </si>
  <si>
    <t>B-496</t>
  </si>
  <si>
    <t>B-499</t>
  </si>
  <si>
    <t>ANKIT SALES, GUNA</t>
  </si>
  <si>
    <t xml:space="preserve">                                                                                                                                         </t>
  </si>
  <si>
    <t>0273</t>
  </si>
  <si>
    <t>Sr. No.</t>
  </si>
  <si>
    <t>Party Name</t>
  </si>
  <si>
    <t>Machinery Details</t>
  </si>
  <si>
    <t>Bill No.</t>
  </si>
  <si>
    <t>Bill Date</t>
  </si>
  <si>
    <t>Basic Cost</t>
  </si>
  <si>
    <t>Duties &amp; Taxes</t>
  </si>
  <si>
    <t>Freight, Transportation &amp; Other charges</t>
  </si>
  <si>
    <t>Total Bill Amount</t>
  </si>
  <si>
    <t xml:space="preserve"> </t>
  </si>
  <si>
    <t>Total</t>
  </si>
  <si>
    <t>M/s Khurana Polymers Pvt. Ltd</t>
  </si>
  <si>
    <t>Guru Nanak Colony, Guna - 473001 (M.P)</t>
  </si>
  <si>
    <t>Plant &amp; Machinery list</t>
  </si>
  <si>
    <t>Civil work list</t>
  </si>
  <si>
    <t>Civil Details</t>
  </si>
  <si>
    <t>4 Shuttle Circular Loom</t>
  </si>
  <si>
    <t>6 Shuttle Circular loom</t>
  </si>
  <si>
    <t>Pallet Trolly</t>
  </si>
  <si>
    <t>Beby Ladder &amp; Trolly</t>
  </si>
  <si>
    <t>Cheese Pipe Straighter</t>
  </si>
  <si>
    <t>High Tensile Black Bobbin</t>
  </si>
  <si>
    <t>Hot Air Dryer</t>
  </si>
  <si>
    <t>Supply Of Ms Powder Coated Duct</t>
  </si>
  <si>
    <t>Gravimetric Dosing Mixxing &amp; Hopper Loader</t>
  </si>
  <si>
    <t>Three Layer Blon Film Plant</t>
  </si>
  <si>
    <t>Hydraulic Bale Press 60 TON</t>
  </si>
  <si>
    <t>Hydraulic Bale Press 20 TON</t>
  </si>
  <si>
    <t>Machinery Pipe Fittings</t>
  </si>
  <si>
    <t>Erection &amp; Commission</t>
  </si>
  <si>
    <t>PH No. 5, Village Ruthiyai, Tehsil Radhogarh, Dist. Guna, (M.P)</t>
  </si>
  <si>
    <t>Fair Market Value (Rs.)</t>
  </si>
  <si>
    <t>Age (Yrs)</t>
  </si>
  <si>
    <t>Residual Life (Yrs)</t>
  </si>
  <si>
    <t>FMV</t>
  </si>
  <si>
    <t>RV</t>
  </si>
  <si>
    <t>DSV</t>
  </si>
  <si>
    <t>Purchase Value (Rs.)</t>
  </si>
  <si>
    <t>S. No.</t>
  </si>
  <si>
    <t>THREAD RING GAUGE 1/2" BSP GO NOGO</t>
  </si>
  <si>
    <t>MOHANLAL GHANSHAMDAS</t>
  </si>
  <si>
    <t>VEDIKA ENTERPRISES</t>
  </si>
  <si>
    <t>22-23/2086</t>
  </si>
  <si>
    <t>947/22-23</t>
  </si>
  <si>
    <t>23.09.2022</t>
  </si>
  <si>
    <t>19.03.2023</t>
  </si>
  <si>
    <t>Wire Rop Hoist- 5 Ton</t>
  </si>
  <si>
    <t>Techno Vijay Enginnering Pvt. Ltd.</t>
  </si>
  <si>
    <t>TV/22-23/1026</t>
  </si>
  <si>
    <t>01.02.2023</t>
  </si>
  <si>
    <t>ADH Hydraulic Iron Worker Q35YL-90T</t>
  </si>
  <si>
    <t>Standard Machine Tools Tradex Pvt. Ltd.</t>
  </si>
  <si>
    <t>SMTTPL/21-22/263</t>
  </si>
  <si>
    <t>30.03.2022</t>
  </si>
  <si>
    <t>Hydraulic Pressing Machine, Model EM NC PBR 1230</t>
  </si>
  <si>
    <t>Shree Mauli Enginnering</t>
  </si>
  <si>
    <t>SME/2223/101</t>
  </si>
  <si>
    <t>21.06.2022</t>
  </si>
  <si>
    <t>Electrical Installation</t>
  </si>
  <si>
    <t>DW 350i MIG 350 Amp CO2 Welding Machine</t>
  </si>
  <si>
    <t>Raj Enterprises</t>
  </si>
  <si>
    <t>RJE/Mar21-22/112</t>
  </si>
  <si>
    <t>26.03.0222</t>
  </si>
  <si>
    <t>GURUKRUPA ENTERPRISES &amp; ELECTRICAL</t>
  </si>
  <si>
    <t>Tools-ET HSS Machine Sparex Gold, Vernier Calliper, Vernier Calliper Digital and ADD ST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</si>
</sst>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dd\-mmm\-yyyy"/>
    <numFmt numFmtId="165" formatCode="&quot;&quot;0"/>
    <numFmt numFmtId="166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 Antiqua"/>
      <family val="1"/>
    </font>
    <font>
      <sz val="12"/>
      <color theme="1"/>
      <name val="Book Antiqua"/>
      <family val="1"/>
    </font>
    <font>
      <sz val="11"/>
      <name val="Calibri"/>
      <family val="2"/>
      <scheme val="minor"/>
    </font>
    <font>
      <sz val="12"/>
      <name val="Book Antiqua"/>
      <family val="1"/>
    </font>
    <font>
      <b/>
      <sz val="12"/>
      <name val="Book Antiqua"/>
      <family val="1"/>
    </font>
    <font>
      <i/>
      <sz val="12"/>
      <name val="Book Antiqua"/>
      <family val="1"/>
    </font>
    <font>
      <b/>
      <sz val="14"/>
      <color theme="1"/>
      <name val="Book Antiqua"/>
      <family val="1"/>
    </font>
    <font>
      <b/>
      <sz val="14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49" fontId="7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43" fontId="5" fillId="2" borderId="1" xfId="1" applyFont="1" applyFill="1" applyBorder="1" applyAlignment="1">
      <alignment horizontal="right" vertical="top" wrapText="1"/>
    </xf>
    <xf numFmtId="165" fontId="5" fillId="2" borderId="0" xfId="0" applyNumberFormat="1" applyFont="1" applyFill="1" applyAlignment="1">
      <alignment wrapText="1"/>
    </xf>
    <xf numFmtId="49" fontId="7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wrapText="1"/>
    </xf>
    <xf numFmtId="49" fontId="6" fillId="2" borderId="1" xfId="0" applyNumberFormat="1" applyFont="1" applyFill="1" applyBorder="1" applyAlignment="1">
      <alignment vertical="top"/>
    </xf>
    <xf numFmtId="49" fontId="6" fillId="2" borderId="1" xfId="0" applyNumberFormat="1" applyFont="1" applyFill="1" applyBorder="1" applyAlignment="1">
      <alignment vertical="top" wrapText="1"/>
    </xf>
    <xf numFmtId="43" fontId="6" fillId="2" borderId="1" xfId="1" applyFont="1" applyFill="1" applyBorder="1" applyAlignment="1">
      <alignment horizontal="right" vertical="top" wrapText="1"/>
    </xf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3" fontId="9" fillId="2" borderId="0" xfId="1" applyFont="1" applyFill="1" applyAlignment="1">
      <alignment horizontal="center" vertical="center"/>
    </xf>
    <xf numFmtId="43" fontId="5" fillId="2" borderId="1" xfId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right" vertical="top"/>
    </xf>
    <xf numFmtId="43" fontId="6" fillId="2" borderId="1" xfId="1" applyFont="1" applyFill="1" applyBorder="1" applyAlignment="1">
      <alignment horizontal="right" vertical="top"/>
    </xf>
    <xf numFmtId="43" fontId="4" fillId="2" borderId="0" xfId="1" applyFont="1" applyFill="1"/>
    <xf numFmtId="0" fontId="9" fillId="2" borderId="0" xfId="0" applyFont="1" applyFill="1" applyAlignment="1">
      <alignment horizontal="center" vertical="center" wrapText="1"/>
    </xf>
    <xf numFmtId="43" fontId="4" fillId="2" borderId="0" xfId="0" applyNumberFormat="1" applyFont="1" applyFill="1"/>
    <xf numFmtId="49" fontId="5" fillId="3" borderId="1" xfId="0" applyNumberFormat="1" applyFont="1" applyFill="1" applyBorder="1" applyAlignment="1">
      <alignment vertical="top" wrapText="1"/>
    </xf>
    <xf numFmtId="49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right" vertical="top" wrapText="1"/>
    </xf>
    <xf numFmtId="43" fontId="5" fillId="3" borderId="1" xfId="1" applyFont="1" applyFill="1" applyBorder="1" applyAlignment="1">
      <alignment horizontal="right" vertical="top" wrapText="1"/>
    </xf>
    <xf numFmtId="49" fontId="5" fillId="4" borderId="1" xfId="0" applyNumberFormat="1" applyFont="1" applyFill="1" applyBorder="1" applyAlignment="1">
      <alignment vertical="top" wrapText="1"/>
    </xf>
    <xf numFmtId="49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right" vertical="top" wrapText="1"/>
    </xf>
    <xf numFmtId="43" fontId="5" fillId="4" borderId="1" xfId="1" applyFont="1" applyFill="1" applyBorder="1" applyAlignment="1">
      <alignment horizontal="right" vertical="top" wrapText="1"/>
    </xf>
    <xf numFmtId="0" fontId="11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0" xfId="0" applyFont="1"/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166" fontId="15" fillId="0" borderId="0" xfId="1" applyNumberFormat="1" applyFont="1" applyFill="1" applyAlignment="1">
      <alignment vertical="center" wrapText="1"/>
    </xf>
    <xf numFmtId="166" fontId="14" fillId="0" borderId="1" xfId="1" applyNumberFormat="1" applyFont="1" applyFill="1" applyBorder="1" applyAlignment="1">
      <alignment horizontal="center" vertical="center" wrapText="1"/>
    </xf>
    <xf numFmtId="166" fontId="16" fillId="0" borderId="1" xfId="1" applyNumberFormat="1" applyFont="1" applyFill="1" applyBorder="1" applyAlignment="1">
      <alignment horizontal="righ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15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66" fontId="14" fillId="0" borderId="1" xfId="1" applyNumberFormat="1" applyFont="1" applyFill="1" applyBorder="1" applyAlignment="1">
      <alignment horizontal="right" vertical="center" wrapText="1"/>
    </xf>
    <xf numFmtId="1" fontId="1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80" zoomScaleNormal="80" zoomScaleSheetLayoutView="90" workbookViewId="0">
      <selection activeCell="B6" sqref="B6"/>
    </sheetView>
  </sheetViews>
  <sheetFormatPr defaultColWidth="9.109375" defaultRowHeight="13.8" x14ac:dyDescent="0.3"/>
  <cols>
    <col min="1" max="1" width="6.33203125" style="57" customWidth="1"/>
    <col min="2" max="2" width="23.33203125" style="67" customWidth="1"/>
    <col min="3" max="3" width="18" style="67" customWidth="1"/>
    <col min="4" max="4" width="9.88671875" style="67" customWidth="1"/>
    <col min="5" max="5" width="11.44140625" style="57" customWidth="1"/>
    <col min="6" max="6" width="7.44140625" style="65" customWidth="1"/>
    <col min="7" max="7" width="10" style="65" customWidth="1"/>
    <col min="8" max="8" width="12.21875" style="61" customWidth="1"/>
    <col min="9" max="9" width="11.88671875" style="61" customWidth="1"/>
    <col min="10" max="10" width="12" style="56" bestFit="1" customWidth="1"/>
    <col min="11" max="16384" width="9.109375" style="56"/>
  </cols>
  <sheetData>
    <row r="1" spans="1:10" ht="27.6" x14ac:dyDescent="0.3">
      <c r="A1" s="58" t="s">
        <v>362</v>
      </c>
      <c r="B1" s="68" t="s">
        <v>326</v>
      </c>
      <c r="C1" s="68" t="s">
        <v>325</v>
      </c>
      <c r="D1" s="68" t="s">
        <v>327</v>
      </c>
      <c r="E1" s="58" t="s">
        <v>328</v>
      </c>
      <c r="F1" s="64" t="s">
        <v>356</v>
      </c>
      <c r="G1" s="64" t="s">
        <v>357</v>
      </c>
      <c r="H1" s="62" t="s">
        <v>361</v>
      </c>
      <c r="I1" s="62" t="s">
        <v>355</v>
      </c>
      <c r="J1" s="59"/>
    </row>
    <row r="2" spans="1:10" ht="33.6" customHeight="1" x14ac:dyDescent="0.3">
      <c r="A2" s="60">
        <v>1</v>
      </c>
      <c r="B2" s="69" t="s">
        <v>363</v>
      </c>
      <c r="C2" s="69" t="s">
        <v>364</v>
      </c>
      <c r="D2" s="69" t="s">
        <v>366</v>
      </c>
      <c r="E2" s="70" t="s">
        <v>368</v>
      </c>
      <c r="F2" s="66">
        <v>2</v>
      </c>
      <c r="G2" s="66">
        <v>4</v>
      </c>
      <c r="H2" s="63">
        <v>6212.7</v>
      </c>
      <c r="I2" s="63">
        <f t="shared" ref="I2:I8" si="0">+H2-H2*0.9*F2/(F2+G2)</f>
        <v>4348.8899999999994</v>
      </c>
      <c r="J2" s="59"/>
    </row>
    <row r="3" spans="1:10" ht="55.2" x14ac:dyDescent="0.3">
      <c r="A3" s="60">
        <f>A2+1</f>
        <v>2</v>
      </c>
      <c r="B3" s="69" t="s">
        <v>388</v>
      </c>
      <c r="C3" s="69" t="s">
        <v>365</v>
      </c>
      <c r="D3" s="69" t="s">
        <v>367</v>
      </c>
      <c r="E3" s="70" t="s">
        <v>369</v>
      </c>
      <c r="F3" s="66">
        <v>1</v>
      </c>
      <c r="G3" s="66">
        <v>5</v>
      </c>
      <c r="H3" s="63">
        <v>29360</v>
      </c>
      <c r="I3" s="63">
        <f t="shared" si="0"/>
        <v>24956</v>
      </c>
      <c r="J3" s="59"/>
    </row>
    <row r="4" spans="1:10" ht="33.6" customHeight="1" x14ac:dyDescent="0.3">
      <c r="A4" s="60">
        <v>3</v>
      </c>
      <c r="B4" s="69" t="s">
        <v>370</v>
      </c>
      <c r="C4" s="69" t="s">
        <v>371</v>
      </c>
      <c r="D4" s="69" t="s">
        <v>372</v>
      </c>
      <c r="E4" s="70" t="s">
        <v>373</v>
      </c>
      <c r="F4" s="66">
        <v>1</v>
      </c>
      <c r="G4" s="66">
        <v>14</v>
      </c>
      <c r="H4" s="63">
        <v>411090</v>
      </c>
      <c r="I4" s="63">
        <f t="shared" si="0"/>
        <v>386424.6</v>
      </c>
      <c r="J4" s="59"/>
    </row>
    <row r="5" spans="1:10" ht="33.6" customHeight="1" x14ac:dyDescent="0.3">
      <c r="A5" s="60">
        <f t="shared" ref="A5:A8" si="1">A4+1</f>
        <v>4</v>
      </c>
      <c r="B5" s="69" t="s">
        <v>374</v>
      </c>
      <c r="C5" s="69" t="s">
        <v>375</v>
      </c>
      <c r="D5" s="69" t="s">
        <v>376</v>
      </c>
      <c r="E5" s="70" t="s">
        <v>377</v>
      </c>
      <c r="F5" s="66">
        <v>2</v>
      </c>
      <c r="G5" s="66">
        <v>13</v>
      </c>
      <c r="H5" s="63">
        <v>1120410</v>
      </c>
      <c r="I5" s="63">
        <f t="shared" si="0"/>
        <v>985960.8</v>
      </c>
      <c r="J5" s="59"/>
    </row>
    <row r="6" spans="1:10" ht="33.6" customHeight="1" x14ac:dyDescent="0.3">
      <c r="A6" s="60">
        <f t="shared" si="1"/>
        <v>5</v>
      </c>
      <c r="B6" s="69" t="s">
        <v>378</v>
      </c>
      <c r="C6" s="69" t="s">
        <v>379</v>
      </c>
      <c r="D6" s="69" t="s">
        <v>380</v>
      </c>
      <c r="E6" s="70" t="s">
        <v>381</v>
      </c>
      <c r="F6" s="66">
        <v>2</v>
      </c>
      <c r="G6" s="66">
        <v>13</v>
      </c>
      <c r="H6" s="63">
        <v>3759480</v>
      </c>
      <c r="I6" s="63">
        <f t="shared" si="0"/>
        <v>3308342.4</v>
      </c>
      <c r="J6" s="59"/>
    </row>
    <row r="7" spans="1:10" ht="41.4" x14ac:dyDescent="0.3">
      <c r="A7" s="60">
        <f t="shared" si="1"/>
        <v>6</v>
      </c>
      <c r="B7" s="69" t="s">
        <v>382</v>
      </c>
      <c r="C7" s="69" t="s">
        <v>387</v>
      </c>
      <c r="D7" s="69"/>
      <c r="E7" s="66">
        <v>2022</v>
      </c>
      <c r="F7" s="66">
        <v>2</v>
      </c>
      <c r="G7" s="66">
        <v>13</v>
      </c>
      <c r="H7" s="63">
        <v>306011.03000000003</v>
      </c>
      <c r="I7" s="63">
        <f t="shared" si="0"/>
        <v>269289.70640000002</v>
      </c>
      <c r="J7" s="59"/>
    </row>
    <row r="8" spans="1:10" ht="33.6" customHeight="1" x14ac:dyDescent="0.3">
      <c r="A8" s="60">
        <f t="shared" si="1"/>
        <v>7</v>
      </c>
      <c r="B8" s="69" t="s">
        <v>383</v>
      </c>
      <c r="C8" s="69" t="s">
        <v>384</v>
      </c>
      <c r="D8" s="69" t="s">
        <v>385</v>
      </c>
      <c r="E8" s="70" t="s">
        <v>386</v>
      </c>
      <c r="F8" s="66">
        <v>2</v>
      </c>
      <c r="G8" s="66">
        <v>8</v>
      </c>
      <c r="H8" s="63">
        <v>136000</v>
      </c>
      <c r="I8" s="63">
        <f t="shared" si="0"/>
        <v>111520</v>
      </c>
      <c r="J8" s="59"/>
    </row>
    <row r="9" spans="1:10" ht="33.6" customHeight="1" x14ac:dyDescent="0.3">
      <c r="A9" s="60"/>
      <c r="B9" s="69"/>
      <c r="C9" s="69"/>
      <c r="D9" s="69"/>
      <c r="E9" s="70"/>
      <c r="F9" s="66"/>
      <c r="G9" s="74" t="s">
        <v>334</v>
      </c>
      <c r="H9" s="73">
        <f>SUM(H2:H8)</f>
        <v>5768563.7300000004</v>
      </c>
      <c r="I9" s="73">
        <f>SUM(I2:I8)</f>
        <v>5090842.396399999</v>
      </c>
    </row>
    <row r="10" spans="1:10" ht="33.6" customHeight="1" x14ac:dyDescent="0.3">
      <c r="A10" s="71"/>
      <c r="B10" s="72"/>
      <c r="C10" s="72"/>
      <c r="D10" s="72"/>
      <c r="E10" s="71"/>
      <c r="F10" s="66"/>
      <c r="G10" s="66"/>
      <c r="H10" s="74" t="s">
        <v>358</v>
      </c>
      <c r="I10" s="62">
        <f>MROUND(I9,1000)</f>
        <v>5091000</v>
      </c>
    </row>
    <row r="11" spans="1:10" ht="33.6" customHeight="1" x14ac:dyDescent="0.3">
      <c r="A11" s="71"/>
      <c r="B11" s="72"/>
      <c r="C11" s="72"/>
      <c r="D11" s="72"/>
      <c r="E11" s="71"/>
      <c r="F11" s="66"/>
      <c r="G11" s="66"/>
      <c r="H11" s="74" t="s">
        <v>359</v>
      </c>
      <c r="I11" s="62">
        <f>I10*0.9</f>
        <v>4581900</v>
      </c>
    </row>
    <row r="12" spans="1:10" ht="33.6" customHeight="1" x14ac:dyDescent="0.3">
      <c r="A12" s="71"/>
      <c r="B12" s="72"/>
      <c r="C12" s="72"/>
      <c r="D12" s="72"/>
      <c r="E12" s="71"/>
      <c r="F12" s="66"/>
      <c r="G12" s="66"/>
      <c r="H12" s="74" t="s">
        <v>360</v>
      </c>
      <c r="I12" s="62">
        <f>I10*0.8</f>
        <v>4072800</v>
      </c>
    </row>
    <row r="13" spans="1:10" ht="33.6" customHeight="1" x14ac:dyDescent="0.3"/>
    <row r="14" spans="1:10" ht="33.6" customHeight="1" x14ac:dyDescent="0.3">
      <c r="H14" s="61">
        <v>5768563.4400000004</v>
      </c>
      <c r="I14" s="61">
        <v>5090842.1499000005</v>
      </c>
    </row>
    <row r="15" spans="1:10" ht="33.6" customHeight="1" x14ac:dyDescent="0.3">
      <c r="H15" s="61">
        <f>H14-H9</f>
        <v>-0.2900000000372529</v>
      </c>
      <c r="I15" s="61">
        <f>I14-I9</f>
        <v>-0.24649999849498272</v>
      </c>
    </row>
    <row r="16" spans="1:10" ht="33.6" customHeight="1" x14ac:dyDescent="0.3"/>
    <row r="20" spans="8:10" x14ac:dyDescent="0.3">
      <c r="H20" s="61">
        <v>5091000</v>
      </c>
      <c r="I20" s="61">
        <v>4581900</v>
      </c>
      <c r="J20" s="61">
        <v>4072800</v>
      </c>
    </row>
  </sheetData>
  <autoFilter ref="A1:I12" xr:uid="{00000000-0001-0000-0000-000000000000}"/>
  <sortState xmlns:xlrd2="http://schemas.microsoft.com/office/spreadsheetml/2017/richdata2" ref="A2:H8">
    <sortCondition ref="E2:E8"/>
  </sortState>
  <printOptions horizontalCentered="1"/>
  <pageMargins left="0.19685039370078741" right="0.19685039370078741" top="0.19685039370078741" bottom="0.1968503937007874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5"/>
  <sheetViews>
    <sheetView view="pageBreakPreview" topLeftCell="A115" zoomScale="90" zoomScaleNormal="90" zoomScaleSheetLayoutView="90" workbookViewId="0">
      <selection activeCell="B122" sqref="B122"/>
    </sheetView>
  </sheetViews>
  <sheetFormatPr defaultColWidth="9.109375" defaultRowHeight="15.6" x14ac:dyDescent="0.3"/>
  <cols>
    <col min="1" max="1" width="6.33203125" style="21" customWidth="1"/>
    <col min="2" max="2" width="35.88671875" style="11" customWidth="1"/>
    <col min="3" max="3" width="32.44140625" style="11" customWidth="1"/>
    <col min="4" max="4" width="19.109375" style="21" customWidth="1"/>
    <col min="5" max="5" width="22.44140625" style="21" customWidth="1"/>
    <col min="6" max="6" width="14.6640625" style="11" bestFit="1" customWidth="1"/>
    <col min="7" max="7" width="16.109375" style="22" bestFit="1" customWidth="1"/>
    <col min="8" max="8" width="16" style="22" bestFit="1" customWidth="1"/>
    <col min="9" max="9" width="18.109375" style="22" bestFit="1" customWidth="1"/>
    <col min="10" max="10" width="19.6640625" style="22" bestFit="1" customWidth="1"/>
    <col min="11" max="11" width="11.109375" style="11" bestFit="1" customWidth="1"/>
    <col min="12" max="13" width="12" style="11" bestFit="1" customWidth="1"/>
    <col min="14" max="16384" width="9.109375" style="11"/>
  </cols>
  <sheetData>
    <row r="1" spans="1:13" ht="18" x14ac:dyDescent="0.3">
      <c r="A1" s="75" t="s">
        <v>335</v>
      </c>
      <c r="B1" s="75"/>
      <c r="C1" s="75"/>
      <c r="D1" s="75"/>
      <c r="E1" s="75"/>
      <c r="F1" s="75"/>
      <c r="G1" s="75"/>
      <c r="H1" s="75"/>
      <c r="I1" s="75"/>
      <c r="J1" s="75"/>
    </row>
    <row r="2" spans="1:13" ht="18" x14ac:dyDescent="0.3">
      <c r="A2" s="75" t="s">
        <v>336</v>
      </c>
      <c r="B2" s="75"/>
      <c r="C2" s="75"/>
      <c r="D2" s="75"/>
      <c r="E2" s="75"/>
      <c r="F2" s="75"/>
      <c r="G2" s="75"/>
      <c r="H2" s="75"/>
      <c r="I2" s="75"/>
      <c r="J2" s="75"/>
    </row>
    <row r="3" spans="1:13" ht="18" x14ac:dyDescent="0.3">
      <c r="A3" s="75" t="s">
        <v>337</v>
      </c>
      <c r="B3" s="75"/>
      <c r="C3" s="75"/>
      <c r="D3" s="75"/>
      <c r="E3" s="75"/>
      <c r="F3" s="75"/>
      <c r="G3" s="75"/>
      <c r="H3" s="75"/>
      <c r="I3" s="75"/>
      <c r="J3" s="75"/>
    </row>
    <row r="5" spans="1:13" ht="46.8" x14ac:dyDescent="0.3">
      <c r="A5" s="7" t="s">
        <v>324</v>
      </c>
      <c r="B5" s="7" t="s">
        <v>325</v>
      </c>
      <c r="C5" s="7" t="s">
        <v>326</v>
      </c>
      <c r="D5" s="7" t="s">
        <v>327</v>
      </c>
      <c r="E5" s="8" t="s">
        <v>1</v>
      </c>
      <c r="F5" s="7" t="s">
        <v>328</v>
      </c>
      <c r="G5" s="9" t="s">
        <v>329</v>
      </c>
      <c r="H5" s="9" t="s">
        <v>330</v>
      </c>
      <c r="I5" s="9" t="s">
        <v>331</v>
      </c>
      <c r="J5" s="9" t="s">
        <v>332</v>
      </c>
      <c r="K5" s="10"/>
      <c r="L5" s="10"/>
      <c r="M5" s="10"/>
    </row>
    <row r="6" spans="1:13" ht="16.2" hidden="1" x14ac:dyDescent="0.3">
      <c r="A6" s="6">
        <v>0</v>
      </c>
      <c r="B6" s="12" t="s">
        <v>333</v>
      </c>
      <c r="C6" s="13"/>
      <c r="D6" s="14"/>
      <c r="E6" s="14"/>
      <c r="F6" s="13"/>
      <c r="G6" s="15"/>
      <c r="H6" s="15"/>
      <c r="I6" s="15"/>
      <c r="J6" s="15"/>
      <c r="K6" s="10"/>
      <c r="L6" s="10"/>
      <c r="M6" s="10"/>
    </row>
    <row r="7" spans="1:13" x14ac:dyDescent="0.3">
      <c r="A7" s="6">
        <f t="shared" ref="A7:A38" si="0">A6+1</f>
        <v>1</v>
      </c>
      <c r="B7" s="16" t="s">
        <v>55</v>
      </c>
      <c r="C7" s="16"/>
      <c r="D7" s="14" t="s">
        <v>206</v>
      </c>
      <c r="E7" s="14" t="s">
        <v>57</v>
      </c>
      <c r="F7" s="17">
        <v>44477</v>
      </c>
      <c r="G7" s="18">
        <v>9561</v>
      </c>
      <c r="H7" s="18">
        <f>860.5+860.5</f>
        <v>1721</v>
      </c>
      <c r="I7" s="18"/>
      <c r="J7" s="18">
        <f t="shared" ref="J7:J32" si="1">+G7+H7+I7</f>
        <v>11282</v>
      </c>
      <c r="K7" s="10"/>
      <c r="L7" s="10"/>
      <c r="M7" s="10"/>
    </row>
    <row r="8" spans="1:13" x14ac:dyDescent="0.3">
      <c r="A8" s="6">
        <f t="shared" si="0"/>
        <v>2</v>
      </c>
      <c r="B8" s="36" t="s">
        <v>38</v>
      </c>
      <c r="C8" s="36" t="s">
        <v>25</v>
      </c>
      <c r="D8" s="37" t="s">
        <v>76</v>
      </c>
      <c r="E8" s="37" t="s">
        <v>40</v>
      </c>
      <c r="F8" s="38">
        <v>44483</v>
      </c>
      <c r="G8" s="39">
        <v>1903200</v>
      </c>
      <c r="H8" s="39">
        <f>+G8*18%</f>
        <v>342576</v>
      </c>
      <c r="I8" s="39"/>
      <c r="J8" s="39">
        <f t="shared" si="1"/>
        <v>2245776</v>
      </c>
      <c r="K8" s="10"/>
      <c r="L8" s="10"/>
      <c r="M8" s="10"/>
    </row>
    <row r="9" spans="1:13" x14ac:dyDescent="0.3">
      <c r="A9" s="6">
        <f t="shared" si="0"/>
        <v>3</v>
      </c>
      <c r="B9" s="36" t="s">
        <v>38</v>
      </c>
      <c r="C9" s="36" t="s">
        <v>25</v>
      </c>
      <c r="D9" s="37" t="s">
        <v>75</v>
      </c>
      <c r="E9" s="37" t="s">
        <v>40</v>
      </c>
      <c r="F9" s="38">
        <v>44483</v>
      </c>
      <c r="G9" s="39">
        <v>1065514</v>
      </c>
      <c r="H9" s="39">
        <f>+G9*18%</f>
        <v>191792.52</v>
      </c>
      <c r="I9" s="39"/>
      <c r="J9" s="39">
        <f t="shared" si="1"/>
        <v>1257306.52</v>
      </c>
      <c r="K9" s="10"/>
      <c r="L9" s="10"/>
      <c r="M9" s="10"/>
    </row>
    <row r="10" spans="1:13" ht="31.2" x14ac:dyDescent="0.3">
      <c r="A10" s="6">
        <f t="shared" si="0"/>
        <v>4</v>
      </c>
      <c r="B10" s="36" t="s">
        <v>55</v>
      </c>
      <c r="C10" s="36" t="s">
        <v>74</v>
      </c>
      <c r="D10" s="37" t="s">
        <v>73</v>
      </c>
      <c r="E10" s="37" t="s">
        <v>57</v>
      </c>
      <c r="F10" s="38">
        <v>44490</v>
      </c>
      <c r="G10" s="39">
        <v>362993.52</v>
      </c>
      <c r="H10" s="39">
        <v>64498.834000000003</v>
      </c>
      <c r="I10" s="39"/>
      <c r="J10" s="39">
        <f t="shared" si="1"/>
        <v>427492.35400000005</v>
      </c>
      <c r="K10" s="10"/>
      <c r="L10" s="10"/>
      <c r="M10" s="10"/>
    </row>
    <row r="11" spans="1:13" ht="31.2" x14ac:dyDescent="0.3">
      <c r="A11" s="6">
        <f t="shared" si="0"/>
        <v>5</v>
      </c>
      <c r="B11" s="36" t="s">
        <v>55</v>
      </c>
      <c r="C11" s="36" t="s">
        <v>72</v>
      </c>
      <c r="D11" s="37" t="s">
        <v>71</v>
      </c>
      <c r="E11" s="37" t="s">
        <v>57</v>
      </c>
      <c r="F11" s="38">
        <v>44490</v>
      </c>
      <c r="G11" s="39">
        <v>10400</v>
      </c>
      <c r="H11" s="39">
        <f>+G11*5%</f>
        <v>520</v>
      </c>
      <c r="I11" s="39"/>
      <c r="J11" s="39">
        <f t="shared" si="1"/>
        <v>10920</v>
      </c>
      <c r="K11" s="10"/>
      <c r="L11" s="10"/>
      <c r="M11" s="10"/>
    </row>
    <row r="12" spans="1:13" x14ac:dyDescent="0.3">
      <c r="A12" s="6">
        <f t="shared" si="0"/>
        <v>6</v>
      </c>
      <c r="B12" s="36" t="s">
        <v>38</v>
      </c>
      <c r="C12" s="36" t="s">
        <v>25</v>
      </c>
      <c r="D12" s="37" t="s">
        <v>69</v>
      </c>
      <c r="E12" s="37" t="s">
        <v>40</v>
      </c>
      <c r="F12" s="38">
        <v>44490</v>
      </c>
      <c r="G12" s="39">
        <v>250640</v>
      </c>
      <c r="H12" s="39">
        <f>+G12*18%</f>
        <v>45115.199999999997</v>
      </c>
      <c r="I12" s="39"/>
      <c r="J12" s="39">
        <f t="shared" si="1"/>
        <v>295755.2</v>
      </c>
      <c r="K12" s="10"/>
      <c r="L12" s="10"/>
      <c r="M12" s="10"/>
    </row>
    <row r="13" spans="1:13" x14ac:dyDescent="0.3">
      <c r="A13" s="6">
        <f t="shared" si="0"/>
        <v>7</v>
      </c>
      <c r="B13" s="36" t="s">
        <v>38</v>
      </c>
      <c r="C13" s="36" t="s">
        <v>25</v>
      </c>
      <c r="D13" s="37" t="s">
        <v>68</v>
      </c>
      <c r="E13" s="37" t="s">
        <v>40</v>
      </c>
      <c r="F13" s="38">
        <v>44490</v>
      </c>
      <c r="G13" s="39">
        <v>56000</v>
      </c>
      <c r="H13" s="39">
        <f>+G13*18%</f>
        <v>10080</v>
      </c>
      <c r="I13" s="39"/>
      <c r="J13" s="39">
        <f t="shared" si="1"/>
        <v>66080</v>
      </c>
      <c r="K13" s="10"/>
      <c r="L13" s="10"/>
      <c r="M13" s="10"/>
    </row>
    <row r="14" spans="1:13" x14ac:dyDescent="0.3">
      <c r="A14" s="6">
        <f t="shared" si="0"/>
        <v>8</v>
      </c>
      <c r="B14" s="36" t="s">
        <v>38</v>
      </c>
      <c r="C14" s="36" t="s">
        <v>25</v>
      </c>
      <c r="D14" s="37" t="s">
        <v>67</v>
      </c>
      <c r="E14" s="37" t="s">
        <v>40</v>
      </c>
      <c r="F14" s="38">
        <v>44490</v>
      </c>
      <c r="G14" s="39">
        <v>376620</v>
      </c>
      <c r="H14" s="39">
        <f>+G14*18%</f>
        <v>67791.599999999991</v>
      </c>
      <c r="I14" s="39"/>
      <c r="J14" s="39">
        <f t="shared" si="1"/>
        <v>444411.6</v>
      </c>
      <c r="K14" s="10"/>
      <c r="L14" s="10"/>
      <c r="M14" s="10"/>
    </row>
    <row r="15" spans="1:13" x14ac:dyDescent="0.3">
      <c r="A15" s="6">
        <f t="shared" si="0"/>
        <v>9</v>
      </c>
      <c r="B15" s="36" t="s">
        <v>38</v>
      </c>
      <c r="C15" s="36" t="s">
        <v>25</v>
      </c>
      <c r="D15" s="37" t="s">
        <v>66</v>
      </c>
      <c r="E15" s="37" t="s">
        <v>40</v>
      </c>
      <c r="F15" s="38">
        <v>44490</v>
      </c>
      <c r="G15" s="39">
        <v>872134</v>
      </c>
      <c r="H15" s="39">
        <f>+G15*18%</f>
        <v>156984.12</v>
      </c>
      <c r="I15" s="39"/>
      <c r="J15" s="39">
        <f t="shared" si="1"/>
        <v>1029118.12</v>
      </c>
      <c r="K15" s="10"/>
      <c r="L15" s="10"/>
      <c r="M15" s="10"/>
    </row>
    <row r="16" spans="1:13" ht="31.2" x14ac:dyDescent="0.3">
      <c r="A16" s="6">
        <f t="shared" si="0"/>
        <v>10</v>
      </c>
      <c r="B16" s="36" t="s">
        <v>55</v>
      </c>
      <c r="C16" s="36" t="s">
        <v>65</v>
      </c>
      <c r="D16" s="37" t="s">
        <v>64</v>
      </c>
      <c r="E16" s="37" t="s">
        <v>57</v>
      </c>
      <c r="F16" s="38">
        <v>44495</v>
      </c>
      <c r="G16" s="39">
        <v>98800</v>
      </c>
      <c r="H16" s="39">
        <f>+G16*18%</f>
        <v>17784</v>
      </c>
      <c r="I16" s="39"/>
      <c r="J16" s="39">
        <f t="shared" si="1"/>
        <v>116584</v>
      </c>
      <c r="K16" s="10"/>
      <c r="L16" s="10"/>
      <c r="M16" s="10"/>
    </row>
    <row r="17" spans="1:13" x14ac:dyDescent="0.3">
      <c r="A17" s="6">
        <f t="shared" si="0"/>
        <v>11</v>
      </c>
      <c r="B17" s="36" t="s">
        <v>55</v>
      </c>
      <c r="C17" s="36" t="s">
        <v>59</v>
      </c>
      <c r="D17" s="37" t="s">
        <v>63</v>
      </c>
      <c r="E17" s="37" t="s">
        <v>57</v>
      </c>
      <c r="F17" s="38">
        <v>44498</v>
      </c>
      <c r="G17" s="39">
        <v>72000</v>
      </c>
      <c r="H17" s="39">
        <f>+G17*12%</f>
        <v>8640</v>
      </c>
      <c r="I17" s="39"/>
      <c r="J17" s="39">
        <f t="shared" si="1"/>
        <v>80640</v>
      </c>
      <c r="K17" s="10"/>
      <c r="L17" s="10"/>
      <c r="M17" s="10"/>
    </row>
    <row r="18" spans="1:13" x14ac:dyDescent="0.3">
      <c r="A18" s="6">
        <f t="shared" si="0"/>
        <v>12</v>
      </c>
      <c r="B18" s="36" t="s">
        <v>38</v>
      </c>
      <c r="C18" s="36" t="s">
        <v>25</v>
      </c>
      <c r="D18" s="37" t="s">
        <v>62</v>
      </c>
      <c r="E18" s="37" t="s">
        <v>40</v>
      </c>
      <c r="F18" s="38">
        <v>44499</v>
      </c>
      <c r="G18" s="39">
        <v>120845.45</v>
      </c>
      <c r="H18" s="39">
        <f>+G18*18%</f>
        <v>21752.180999999997</v>
      </c>
      <c r="I18" s="39"/>
      <c r="J18" s="39">
        <f t="shared" si="1"/>
        <v>142597.63099999999</v>
      </c>
      <c r="K18" s="10"/>
      <c r="L18" s="10"/>
      <c r="M18" s="10"/>
    </row>
    <row r="19" spans="1:13" x14ac:dyDescent="0.3">
      <c r="A19" s="6">
        <f t="shared" si="0"/>
        <v>13</v>
      </c>
      <c r="B19" s="36" t="s">
        <v>38</v>
      </c>
      <c r="C19" s="36" t="s">
        <v>25</v>
      </c>
      <c r="D19" s="37" t="s">
        <v>61</v>
      </c>
      <c r="E19" s="37" t="s">
        <v>40</v>
      </c>
      <c r="F19" s="38">
        <v>44499</v>
      </c>
      <c r="G19" s="39">
        <v>283316.7</v>
      </c>
      <c r="H19" s="39">
        <f>+G19*18%</f>
        <v>50997.006000000001</v>
      </c>
      <c r="I19" s="39"/>
      <c r="J19" s="39">
        <f t="shared" si="1"/>
        <v>334313.70600000001</v>
      </c>
      <c r="K19" s="10"/>
      <c r="L19" s="10"/>
      <c r="M19" s="10"/>
    </row>
    <row r="20" spans="1:13" x14ac:dyDescent="0.3">
      <c r="A20" s="6">
        <f t="shared" si="0"/>
        <v>14</v>
      </c>
      <c r="B20" s="36" t="s">
        <v>55</v>
      </c>
      <c r="C20" s="36" t="s">
        <v>59</v>
      </c>
      <c r="D20" s="37" t="s">
        <v>60</v>
      </c>
      <c r="E20" s="37" t="s">
        <v>57</v>
      </c>
      <c r="F20" s="38">
        <v>44501</v>
      </c>
      <c r="G20" s="39">
        <v>93600</v>
      </c>
      <c r="H20" s="39">
        <f>+G20*12%</f>
        <v>11232</v>
      </c>
      <c r="I20" s="39"/>
      <c r="J20" s="39">
        <f t="shared" si="1"/>
        <v>104832</v>
      </c>
      <c r="K20" s="10"/>
      <c r="L20" s="10"/>
      <c r="M20" s="10"/>
    </row>
    <row r="21" spans="1:13" x14ac:dyDescent="0.3">
      <c r="A21" s="6">
        <f t="shared" si="0"/>
        <v>15</v>
      </c>
      <c r="B21" s="36" t="s">
        <v>55</v>
      </c>
      <c r="C21" s="36" t="s">
        <v>59</v>
      </c>
      <c r="D21" s="37" t="s">
        <v>58</v>
      </c>
      <c r="E21" s="37" t="s">
        <v>57</v>
      </c>
      <c r="F21" s="38">
        <v>44503</v>
      </c>
      <c r="G21" s="39">
        <v>36000</v>
      </c>
      <c r="H21" s="39">
        <f>+G21*12%</f>
        <v>4320</v>
      </c>
      <c r="I21" s="39"/>
      <c r="J21" s="39">
        <f t="shared" si="1"/>
        <v>40320</v>
      </c>
      <c r="K21" s="10"/>
      <c r="L21" s="10"/>
      <c r="M21" s="10"/>
    </row>
    <row r="22" spans="1:13" x14ac:dyDescent="0.3">
      <c r="A22" s="6">
        <f t="shared" si="0"/>
        <v>16</v>
      </c>
      <c r="B22" s="36" t="s">
        <v>55</v>
      </c>
      <c r="C22" s="36" t="s">
        <v>59</v>
      </c>
      <c r="D22" s="37" t="s">
        <v>70</v>
      </c>
      <c r="E22" s="37" t="s">
        <v>57</v>
      </c>
      <c r="F22" s="38">
        <v>44503</v>
      </c>
      <c r="G22" s="39">
        <v>14400</v>
      </c>
      <c r="H22" s="39">
        <f>+G22*12%</f>
        <v>1728</v>
      </c>
      <c r="I22" s="39"/>
      <c r="J22" s="39">
        <f t="shared" si="1"/>
        <v>16128</v>
      </c>
      <c r="K22" s="10"/>
      <c r="L22" s="10"/>
      <c r="M22" s="10"/>
    </row>
    <row r="23" spans="1:13" ht="31.2" x14ac:dyDescent="0.3">
      <c r="A23" s="6">
        <f t="shared" si="0"/>
        <v>17</v>
      </c>
      <c r="B23" s="16" t="s">
        <v>48</v>
      </c>
      <c r="C23" s="16" t="s">
        <v>51</v>
      </c>
      <c r="D23" s="14" t="s">
        <v>49</v>
      </c>
      <c r="E23" s="14" t="s">
        <v>50</v>
      </c>
      <c r="F23" s="17">
        <v>44510</v>
      </c>
      <c r="G23" s="18">
        <v>479160</v>
      </c>
      <c r="H23" s="18">
        <f t="shared" ref="H23:H31" si="2">+G23*18%</f>
        <v>86248.8</v>
      </c>
      <c r="I23" s="18"/>
      <c r="J23" s="18">
        <f t="shared" si="1"/>
        <v>565408.80000000005</v>
      </c>
      <c r="K23" s="10"/>
      <c r="L23" s="10"/>
      <c r="M23" s="10"/>
    </row>
    <row r="24" spans="1:13" ht="31.2" x14ac:dyDescent="0.3">
      <c r="A24" s="6">
        <f t="shared" si="0"/>
        <v>18</v>
      </c>
      <c r="B24" s="16" t="s">
        <v>48</v>
      </c>
      <c r="C24" s="16" t="s">
        <v>52</v>
      </c>
      <c r="D24" s="14" t="s">
        <v>49</v>
      </c>
      <c r="E24" s="14" t="s">
        <v>50</v>
      </c>
      <c r="F24" s="17">
        <v>44510</v>
      </c>
      <c r="G24" s="18">
        <v>190806</v>
      </c>
      <c r="H24" s="18">
        <f t="shared" si="2"/>
        <v>34345.08</v>
      </c>
      <c r="I24" s="18"/>
      <c r="J24" s="18">
        <f t="shared" si="1"/>
        <v>225151.08000000002</v>
      </c>
      <c r="K24" s="10"/>
      <c r="L24" s="10"/>
      <c r="M24" s="10"/>
    </row>
    <row r="25" spans="1:13" ht="31.2" x14ac:dyDescent="0.3">
      <c r="A25" s="6">
        <f t="shared" si="0"/>
        <v>19</v>
      </c>
      <c r="B25" s="16" t="s">
        <v>48</v>
      </c>
      <c r="C25" s="16" t="s">
        <v>53</v>
      </c>
      <c r="D25" s="14" t="s">
        <v>49</v>
      </c>
      <c r="E25" s="14" t="s">
        <v>50</v>
      </c>
      <c r="F25" s="17">
        <v>44510</v>
      </c>
      <c r="G25" s="18">
        <v>72204</v>
      </c>
      <c r="H25" s="18">
        <f t="shared" si="2"/>
        <v>12996.72</v>
      </c>
      <c r="I25" s="18"/>
      <c r="J25" s="18">
        <f t="shared" si="1"/>
        <v>85200.72</v>
      </c>
      <c r="K25" s="10"/>
      <c r="L25" s="10"/>
      <c r="M25" s="10"/>
    </row>
    <row r="26" spans="1:13" ht="31.2" x14ac:dyDescent="0.3">
      <c r="A26" s="6">
        <f t="shared" si="0"/>
        <v>20</v>
      </c>
      <c r="B26" s="16" t="s">
        <v>48</v>
      </c>
      <c r="C26" s="16" t="s">
        <v>54</v>
      </c>
      <c r="D26" s="14" t="s">
        <v>49</v>
      </c>
      <c r="E26" s="14" t="s">
        <v>50</v>
      </c>
      <c r="F26" s="17">
        <v>44510</v>
      </c>
      <c r="G26" s="18">
        <v>362764</v>
      </c>
      <c r="H26" s="18">
        <f t="shared" si="2"/>
        <v>65297.52</v>
      </c>
      <c r="I26" s="18"/>
      <c r="J26" s="18">
        <f t="shared" si="1"/>
        <v>428061.52</v>
      </c>
      <c r="K26" s="10"/>
      <c r="L26" s="10"/>
      <c r="M26" s="10"/>
    </row>
    <row r="27" spans="1:13" ht="31.2" x14ac:dyDescent="0.3">
      <c r="A27" s="6">
        <f t="shared" si="0"/>
        <v>21</v>
      </c>
      <c r="B27" s="16" t="s">
        <v>2</v>
      </c>
      <c r="C27" s="16" t="s">
        <v>28</v>
      </c>
      <c r="D27" s="14" t="s">
        <v>42</v>
      </c>
      <c r="E27" s="14" t="s">
        <v>3</v>
      </c>
      <c r="F27" s="17">
        <v>44515</v>
      </c>
      <c r="G27" s="18">
        <v>87000</v>
      </c>
      <c r="H27" s="18">
        <f t="shared" si="2"/>
        <v>15660</v>
      </c>
      <c r="I27" s="18"/>
      <c r="J27" s="18">
        <f t="shared" si="1"/>
        <v>102660</v>
      </c>
      <c r="K27" s="10"/>
      <c r="L27" s="10"/>
      <c r="M27" s="10"/>
    </row>
    <row r="28" spans="1:13" ht="31.2" x14ac:dyDescent="0.3">
      <c r="A28" s="6">
        <f t="shared" si="0"/>
        <v>22</v>
      </c>
      <c r="B28" s="16" t="s">
        <v>2</v>
      </c>
      <c r="C28" s="16" t="s">
        <v>43</v>
      </c>
      <c r="D28" s="14" t="s">
        <v>42</v>
      </c>
      <c r="E28" s="14" t="s">
        <v>3</v>
      </c>
      <c r="F28" s="17">
        <v>44515</v>
      </c>
      <c r="G28" s="18">
        <f>2500+3000+36000</f>
        <v>41500</v>
      </c>
      <c r="H28" s="18">
        <f t="shared" si="2"/>
        <v>7470</v>
      </c>
      <c r="I28" s="18"/>
      <c r="J28" s="18">
        <f t="shared" si="1"/>
        <v>48970</v>
      </c>
      <c r="K28" s="10"/>
      <c r="L28" s="10"/>
      <c r="M28" s="10"/>
    </row>
    <row r="29" spans="1:13" x14ac:dyDescent="0.3">
      <c r="A29" s="6">
        <f t="shared" si="0"/>
        <v>23</v>
      </c>
      <c r="B29" s="16" t="s">
        <v>12</v>
      </c>
      <c r="C29" s="16" t="s">
        <v>45</v>
      </c>
      <c r="D29" s="14" t="s">
        <v>44</v>
      </c>
      <c r="E29" s="14" t="s">
        <v>13</v>
      </c>
      <c r="F29" s="17">
        <v>44515</v>
      </c>
      <c r="G29" s="18">
        <v>500500</v>
      </c>
      <c r="H29" s="18">
        <f t="shared" si="2"/>
        <v>90090</v>
      </c>
      <c r="I29" s="18"/>
      <c r="J29" s="18">
        <f t="shared" si="1"/>
        <v>590590</v>
      </c>
      <c r="K29" s="10"/>
      <c r="L29" s="10"/>
      <c r="M29" s="10"/>
    </row>
    <row r="30" spans="1:13" x14ac:dyDescent="0.3">
      <c r="A30" s="6">
        <f t="shared" si="0"/>
        <v>24</v>
      </c>
      <c r="B30" s="16" t="s">
        <v>12</v>
      </c>
      <c r="C30" s="16" t="s">
        <v>46</v>
      </c>
      <c r="D30" s="14" t="s">
        <v>44</v>
      </c>
      <c r="E30" s="14" t="s">
        <v>13</v>
      </c>
      <c r="F30" s="17">
        <v>44515</v>
      </c>
      <c r="G30" s="18">
        <v>521000</v>
      </c>
      <c r="H30" s="18">
        <f t="shared" si="2"/>
        <v>93780</v>
      </c>
      <c r="I30" s="18"/>
      <c r="J30" s="18">
        <f t="shared" si="1"/>
        <v>614780</v>
      </c>
      <c r="K30" s="10"/>
      <c r="L30" s="10"/>
      <c r="M30" s="10"/>
    </row>
    <row r="31" spans="1:13" x14ac:dyDescent="0.3">
      <c r="A31" s="6">
        <f t="shared" si="0"/>
        <v>25</v>
      </c>
      <c r="B31" s="16" t="s">
        <v>12</v>
      </c>
      <c r="C31" s="16" t="s">
        <v>47</v>
      </c>
      <c r="D31" s="14" t="s">
        <v>44</v>
      </c>
      <c r="E31" s="14" t="s">
        <v>13</v>
      </c>
      <c r="F31" s="17">
        <v>44515</v>
      </c>
      <c r="G31" s="18">
        <v>45500</v>
      </c>
      <c r="H31" s="18">
        <f t="shared" si="2"/>
        <v>8190</v>
      </c>
      <c r="I31" s="18"/>
      <c r="J31" s="18">
        <f t="shared" si="1"/>
        <v>53690</v>
      </c>
      <c r="K31" s="10"/>
      <c r="L31" s="10"/>
      <c r="M31" s="10"/>
    </row>
    <row r="32" spans="1:13" x14ac:dyDescent="0.3">
      <c r="A32" s="6">
        <f t="shared" si="0"/>
        <v>26</v>
      </c>
      <c r="B32" s="40" t="s">
        <v>209</v>
      </c>
      <c r="C32" s="40" t="s">
        <v>238</v>
      </c>
      <c r="D32" s="41" t="s">
        <v>217</v>
      </c>
      <c r="E32" s="41" t="s">
        <v>213</v>
      </c>
      <c r="F32" s="42">
        <v>44515</v>
      </c>
      <c r="G32" s="43">
        <v>41000</v>
      </c>
      <c r="H32" s="43">
        <v>0</v>
      </c>
      <c r="I32" s="43"/>
      <c r="J32" s="43">
        <f t="shared" si="1"/>
        <v>41000</v>
      </c>
      <c r="K32" s="10"/>
      <c r="L32" s="10"/>
      <c r="M32" s="10"/>
    </row>
    <row r="33" spans="1:13" x14ac:dyDescent="0.3">
      <c r="A33" s="6">
        <f t="shared" si="0"/>
        <v>27</v>
      </c>
      <c r="B33" s="36" t="s">
        <v>55</v>
      </c>
      <c r="C33" s="36" t="s">
        <v>22</v>
      </c>
      <c r="D33" s="37" t="s">
        <v>56</v>
      </c>
      <c r="E33" s="37" t="s">
        <v>57</v>
      </c>
      <c r="F33" s="38">
        <v>44520</v>
      </c>
      <c r="G33" s="39">
        <v>1870007</v>
      </c>
      <c r="H33" s="39">
        <f>+G33*18%</f>
        <v>336601.26</v>
      </c>
      <c r="I33" s="39"/>
      <c r="J33" s="39">
        <f>+G33+H33+I33-549501</f>
        <v>1657107.2599999998</v>
      </c>
      <c r="K33" s="10"/>
      <c r="L33" s="10"/>
      <c r="M33" s="10"/>
    </row>
    <row r="34" spans="1:13" x14ac:dyDescent="0.3">
      <c r="A34" s="6">
        <f t="shared" si="0"/>
        <v>28</v>
      </c>
      <c r="B34" s="16" t="s">
        <v>4</v>
      </c>
      <c r="C34" s="16" t="s">
        <v>20</v>
      </c>
      <c r="D34" s="14" t="s">
        <v>36</v>
      </c>
      <c r="E34" s="14" t="s">
        <v>5</v>
      </c>
      <c r="F34" s="17">
        <v>44522</v>
      </c>
      <c r="G34" s="18">
        <v>6739200</v>
      </c>
      <c r="H34" s="18">
        <v>1213056</v>
      </c>
      <c r="I34" s="18"/>
      <c r="J34" s="18">
        <f t="shared" ref="J34:J65" si="3">+G34+H34+I34</f>
        <v>7952256</v>
      </c>
      <c r="K34" s="10"/>
      <c r="L34" s="10"/>
      <c r="M34" s="19"/>
    </row>
    <row r="35" spans="1:13" x14ac:dyDescent="0.3">
      <c r="A35" s="6">
        <f t="shared" si="0"/>
        <v>29</v>
      </c>
      <c r="B35" s="36" t="s">
        <v>38</v>
      </c>
      <c r="C35" s="36" t="s">
        <v>25</v>
      </c>
      <c r="D35" s="37" t="s">
        <v>39</v>
      </c>
      <c r="E35" s="37" t="s">
        <v>40</v>
      </c>
      <c r="F35" s="38">
        <v>44522</v>
      </c>
      <c r="G35" s="39">
        <v>116485</v>
      </c>
      <c r="H35" s="39">
        <f>+G35*18%</f>
        <v>20967.3</v>
      </c>
      <c r="I35" s="39"/>
      <c r="J35" s="39">
        <f t="shared" si="3"/>
        <v>137452.29999999999</v>
      </c>
      <c r="K35" s="10"/>
      <c r="L35" s="10"/>
      <c r="M35" s="10"/>
    </row>
    <row r="36" spans="1:13" x14ac:dyDescent="0.3">
      <c r="A36" s="6">
        <f t="shared" si="0"/>
        <v>30</v>
      </c>
      <c r="B36" s="40" t="s">
        <v>211</v>
      </c>
      <c r="C36" s="40" t="s">
        <v>238</v>
      </c>
      <c r="D36" s="41" t="s">
        <v>222</v>
      </c>
      <c r="E36" s="41" t="s">
        <v>216</v>
      </c>
      <c r="F36" s="42">
        <v>44523</v>
      </c>
      <c r="G36" s="43">
        <v>38000</v>
      </c>
      <c r="H36" s="43">
        <v>0</v>
      </c>
      <c r="I36" s="43"/>
      <c r="J36" s="43">
        <f t="shared" si="3"/>
        <v>38000</v>
      </c>
      <c r="K36" s="10"/>
      <c r="L36" s="10"/>
      <c r="M36" s="19"/>
    </row>
    <row r="37" spans="1:13" x14ac:dyDescent="0.3">
      <c r="A37" s="6">
        <f t="shared" si="0"/>
        <v>31</v>
      </c>
      <c r="B37" s="16" t="s">
        <v>4</v>
      </c>
      <c r="C37" s="16" t="s">
        <v>19</v>
      </c>
      <c r="D37" s="14" t="s">
        <v>31</v>
      </c>
      <c r="E37" s="14" t="s">
        <v>5</v>
      </c>
      <c r="F37" s="17">
        <v>44524</v>
      </c>
      <c r="G37" s="18">
        <v>22300000</v>
      </c>
      <c r="H37" s="18">
        <v>4014000</v>
      </c>
      <c r="I37" s="18"/>
      <c r="J37" s="18">
        <f t="shared" si="3"/>
        <v>26314000</v>
      </c>
      <c r="K37" s="10"/>
      <c r="L37" s="10"/>
      <c r="M37" s="10"/>
    </row>
    <row r="38" spans="1:13" ht="31.2" x14ac:dyDescent="0.3">
      <c r="A38" s="6">
        <f t="shared" si="0"/>
        <v>32</v>
      </c>
      <c r="B38" s="16" t="s">
        <v>16</v>
      </c>
      <c r="C38" s="16" t="s">
        <v>26</v>
      </c>
      <c r="D38" s="14" t="s">
        <v>35</v>
      </c>
      <c r="E38" s="14" t="s">
        <v>17</v>
      </c>
      <c r="F38" s="17">
        <v>44525</v>
      </c>
      <c r="G38" s="18">
        <v>825000</v>
      </c>
      <c r="H38" s="18">
        <v>148500</v>
      </c>
      <c r="I38" s="18"/>
      <c r="J38" s="18">
        <f t="shared" si="3"/>
        <v>973500</v>
      </c>
      <c r="K38" s="10"/>
      <c r="L38" s="10"/>
      <c r="M38" s="10"/>
    </row>
    <row r="39" spans="1:13" ht="31.2" x14ac:dyDescent="0.3">
      <c r="A39" s="6">
        <f t="shared" ref="A39:A70" si="4">A38+1</f>
        <v>33</v>
      </c>
      <c r="B39" s="16" t="s">
        <v>14</v>
      </c>
      <c r="C39" s="16" t="s">
        <v>37</v>
      </c>
      <c r="D39" s="14" t="s">
        <v>32</v>
      </c>
      <c r="E39" s="14" t="s">
        <v>15</v>
      </c>
      <c r="F39" s="17">
        <v>44525</v>
      </c>
      <c r="G39" s="18">
        <v>378000</v>
      </c>
      <c r="H39" s="18">
        <v>45360</v>
      </c>
      <c r="I39" s="18"/>
      <c r="J39" s="18">
        <f t="shared" si="3"/>
        <v>423360</v>
      </c>
      <c r="K39" s="10"/>
      <c r="L39" s="10"/>
      <c r="M39" s="10"/>
    </row>
    <row r="40" spans="1:13" ht="31.2" x14ac:dyDescent="0.3">
      <c r="A40" s="6">
        <f t="shared" si="4"/>
        <v>34</v>
      </c>
      <c r="B40" s="16" t="s">
        <v>14</v>
      </c>
      <c r="C40" s="16" t="s">
        <v>33</v>
      </c>
      <c r="D40" s="14" t="s">
        <v>32</v>
      </c>
      <c r="E40" s="14" t="s">
        <v>15</v>
      </c>
      <c r="F40" s="17">
        <v>44525</v>
      </c>
      <c r="G40" s="18">
        <v>45500</v>
      </c>
      <c r="H40" s="18">
        <v>5460</v>
      </c>
      <c r="I40" s="18"/>
      <c r="J40" s="18">
        <f t="shared" si="3"/>
        <v>50960</v>
      </c>
      <c r="K40" s="10"/>
      <c r="L40" s="10"/>
      <c r="M40" s="10"/>
    </row>
    <row r="41" spans="1:13" ht="31.2" x14ac:dyDescent="0.3">
      <c r="A41" s="6">
        <f t="shared" si="4"/>
        <v>35</v>
      </c>
      <c r="B41" s="16" t="s">
        <v>14</v>
      </c>
      <c r="C41" s="16" t="s">
        <v>23</v>
      </c>
      <c r="D41" s="14" t="s">
        <v>32</v>
      </c>
      <c r="E41" s="14" t="s">
        <v>15</v>
      </c>
      <c r="F41" s="17">
        <v>44525</v>
      </c>
      <c r="G41" s="18">
        <v>25000</v>
      </c>
      <c r="H41" s="18">
        <v>3000</v>
      </c>
      <c r="I41" s="18"/>
      <c r="J41" s="18">
        <f t="shared" si="3"/>
        <v>28000</v>
      </c>
      <c r="K41" s="10"/>
      <c r="L41" s="10"/>
      <c r="M41" s="10"/>
    </row>
    <row r="42" spans="1:13" ht="31.2" x14ac:dyDescent="0.3">
      <c r="A42" s="6">
        <f t="shared" si="4"/>
        <v>36</v>
      </c>
      <c r="B42" s="16" t="s">
        <v>14</v>
      </c>
      <c r="C42" s="16" t="s">
        <v>34</v>
      </c>
      <c r="D42" s="14" t="s">
        <v>32</v>
      </c>
      <c r="E42" s="14" t="s">
        <v>15</v>
      </c>
      <c r="F42" s="17">
        <v>44525</v>
      </c>
      <c r="G42" s="18">
        <v>30000</v>
      </c>
      <c r="H42" s="18">
        <v>3600</v>
      </c>
      <c r="I42" s="18"/>
      <c r="J42" s="18">
        <f t="shared" si="3"/>
        <v>33600</v>
      </c>
      <c r="K42" s="10"/>
      <c r="L42" s="10"/>
      <c r="M42" s="10"/>
    </row>
    <row r="43" spans="1:13" ht="31.2" x14ac:dyDescent="0.3">
      <c r="A43" s="6">
        <f t="shared" si="4"/>
        <v>37</v>
      </c>
      <c r="B43" s="16" t="s">
        <v>14</v>
      </c>
      <c r="C43" s="16" t="s">
        <v>24</v>
      </c>
      <c r="D43" s="14" t="s">
        <v>32</v>
      </c>
      <c r="E43" s="14" t="s">
        <v>15</v>
      </c>
      <c r="F43" s="17">
        <v>44525</v>
      </c>
      <c r="G43" s="18">
        <v>65000</v>
      </c>
      <c r="H43" s="18">
        <v>11700</v>
      </c>
      <c r="I43" s="18"/>
      <c r="J43" s="18">
        <f t="shared" si="3"/>
        <v>76700</v>
      </c>
      <c r="K43" s="10"/>
      <c r="L43" s="10"/>
      <c r="M43" s="10"/>
    </row>
    <row r="44" spans="1:13" ht="31.2" x14ac:dyDescent="0.3">
      <c r="A44" s="6">
        <f t="shared" si="4"/>
        <v>38</v>
      </c>
      <c r="B44" s="40" t="s">
        <v>210</v>
      </c>
      <c r="C44" s="40" t="s">
        <v>238</v>
      </c>
      <c r="D44" s="41" t="s">
        <v>218</v>
      </c>
      <c r="E44" s="41" t="s">
        <v>214</v>
      </c>
      <c r="F44" s="42">
        <v>44525</v>
      </c>
      <c r="G44" s="43">
        <v>17000</v>
      </c>
      <c r="H44" s="43">
        <v>0</v>
      </c>
      <c r="I44" s="43"/>
      <c r="J44" s="43">
        <f t="shared" si="3"/>
        <v>17000</v>
      </c>
      <c r="K44" s="10"/>
      <c r="L44" s="10"/>
      <c r="M44" s="10"/>
    </row>
    <row r="45" spans="1:13" ht="31.2" x14ac:dyDescent="0.3">
      <c r="A45" s="6">
        <f t="shared" si="4"/>
        <v>39</v>
      </c>
      <c r="B45" s="40" t="s">
        <v>210</v>
      </c>
      <c r="C45" s="40" t="s">
        <v>238</v>
      </c>
      <c r="D45" s="41" t="s">
        <v>219</v>
      </c>
      <c r="E45" s="41" t="s">
        <v>214</v>
      </c>
      <c r="F45" s="42">
        <v>44525</v>
      </c>
      <c r="G45" s="43">
        <v>17000</v>
      </c>
      <c r="H45" s="43">
        <v>0</v>
      </c>
      <c r="I45" s="43"/>
      <c r="J45" s="43">
        <f t="shared" si="3"/>
        <v>17000</v>
      </c>
      <c r="K45" s="10"/>
      <c r="L45" s="10"/>
      <c r="M45" s="19"/>
    </row>
    <row r="46" spans="1:13" x14ac:dyDescent="0.3">
      <c r="A46" s="6">
        <f t="shared" si="4"/>
        <v>40</v>
      </c>
      <c r="B46" s="40" t="s">
        <v>211</v>
      </c>
      <c r="C46" s="40" t="s">
        <v>238</v>
      </c>
      <c r="D46" s="41" t="s">
        <v>225</v>
      </c>
      <c r="E46" s="41" t="s">
        <v>216</v>
      </c>
      <c r="F46" s="42">
        <v>44525</v>
      </c>
      <c r="G46" s="43">
        <v>152000</v>
      </c>
      <c r="H46" s="43">
        <v>0</v>
      </c>
      <c r="I46" s="43"/>
      <c r="J46" s="43">
        <f t="shared" si="3"/>
        <v>152000</v>
      </c>
      <c r="K46" s="10"/>
      <c r="L46" s="10"/>
      <c r="M46" s="19"/>
    </row>
    <row r="47" spans="1:13" x14ac:dyDescent="0.3">
      <c r="A47" s="6">
        <f t="shared" si="4"/>
        <v>41</v>
      </c>
      <c r="B47" s="16" t="s">
        <v>4</v>
      </c>
      <c r="C47" s="16" t="s">
        <v>340</v>
      </c>
      <c r="D47" s="14" t="s">
        <v>29</v>
      </c>
      <c r="E47" s="14" t="s">
        <v>5</v>
      </c>
      <c r="F47" s="17">
        <v>44526</v>
      </c>
      <c r="G47" s="18">
        <v>1280000</v>
      </c>
      <c r="H47" s="18">
        <v>230400</v>
      </c>
      <c r="I47" s="18"/>
      <c r="J47" s="18">
        <f t="shared" si="3"/>
        <v>1510400</v>
      </c>
      <c r="K47" s="10"/>
      <c r="L47" s="10"/>
      <c r="M47" s="19"/>
    </row>
    <row r="48" spans="1:13" x14ac:dyDescent="0.3">
      <c r="A48" s="6">
        <f t="shared" si="4"/>
        <v>42</v>
      </c>
      <c r="B48" s="16" t="s">
        <v>4</v>
      </c>
      <c r="C48" s="16" t="s">
        <v>340</v>
      </c>
      <c r="D48" s="14" t="s">
        <v>30</v>
      </c>
      <c r="E48" s="14" t="s">
        <v>5</v>
      </c>
      <c r="F48" s="17">
        <v>44526</v>
      </c>
      <c r="G48" s="18">
        <v>1280000</v>
      </c>
      <c r="H48" s="18">
        <v>230400</v>
      </c>
      <c r="I48" s="18"/>
      <c r="J48" s="18">
        <f t="shared" si="3"/>
        <v>1510400</v>
      </c>
      <c r="K48" s="10"/>
      <c r="L48" s="10"/>
      <c r="M48" s="19"/>
    </row>
    <row r="49" spans="1:13" ht="31.2" x14ac:dyDescent="0.3">
      <c r="A49" s="6">
        <f t="shared" si="4"/>
        <v>43</v>
      </c>
      <c r="B49" s="16" t="s">
        <v>10</v>
      </c>
      <c r="C49" s="16" t="s">
        <v>21</v>
      </c>
      <c r="D49" s="14" t="s">
        <v>41</v>
      </c>
      <c r="E49" s="14" t="s">
        <v>11</v>
      </c>
      <c r="F49" s="17">
        <v>44526</v>
      </c>
      <c r="G49" s="18">
        <v>1830000</v>
      </c>
      <c r="H49" s="18">
        <v>329400</v>
      </c>
      <c r="I49" s="18"/>
      <c r="J49" s="18">
        <f t="shared" si="3"/>
        <v>2159400</v>
      </c>
      <c r="K49" s="10" t="s">
        <v>18</v>
      </c>
      <c r="L49" s="10"/>
      <c r="M49" s="19"/>
    </row>
    <row r="50" spans="1:13" ht="31.2" x14ac:dyDescent="0.3">
      <c r="A50" s="6">
        <f t="shared" si="4"/>
        <v>44</v>
      </c>
      <c r="B50" s="40" t="s">
        <v>284</v>
      </c>
      <c r="C50" s="40" t="s">
        <v>238</v>
      </c>
      <c r="D50" s="41" t="s">
        <v>221</v>
      </c>
      <c r="E50" s="41" t="s">
        <v>215</v>
      </c>
      <c r="F50" s="42">
        <v>44527</v>
      </c>
      <c r="G50" s="43">
        <v>15100</v>
      </c>
      <c r="H50" s="43">
        <v>0</v>
      </c>
      <c r="I50" s="43"/>
      <c r="J50" s="43">
        <f t="shared" si="3"/>
        <v>15100</v>
      </c>
      <c r="K50" s="10"/>
      <c r="L50" s="10"/>
      <c r="M50" s="19"/>
    </row>
    <row r="51" spans="1:13" ht="31.2" x14ac:dyDescent="0.3">
      <c r="A51" s="6">
        <f t="shared" si="4"/>
        <v>45</v>
      </c>
      <c r="B51" s="40" t="s">
        <v>284</v>
      </c>
      <c r="C51" s="40" t="s">
        <v>238</v>
      </c>
      <c r="D51" s="41" t="s">
        <v>220</v>
      </c>
      <c r="E51" s="41" t="s">
        <v>215</v>
      </c>
      <c r="F51" s="42">
        <v>44527</v>
      </c>
      <c r="G51" s="43">
        <v>15100</v>
      </c>
      <c r="H51" s="43">
        <v>0</v>
      </c>
      <c r="I51" s="43"/>
      <c r="J51" s="43">
        <f t="shared" si="3"/>
        <v>15100</v>
      </c>
      <c r="K51" s="10"/>
      <c r="L51" s="10"/>
      <c r="M51" s="10"/>
    </row>
    <row r="52" spans="1:13" ht="31.2" x14ac:dyDescent="0.3">
      <c r="A52" s="6">
        <f t="shared" si="4"/>
        <v>46</v>
      </c>
      <c r="B52" s="16" t="s">
        <v>8</v>
      </c>
      <c r="C52" s="16" t="s">
        <v>27</v>
      </c>
      <c r="D52" s="14" t="s">
        <v>77</v>
      </c>
      <c r="E52" s="14" t="s">
        <v>9</v>
      </c>
      <c r="F52" s="17">
        <v>44530</v>
      </c>
      <c r="G52" s="18">
        <v>2602700</v>
      </c>
      <c r="H52" s="18">
        <f>+G52*18%</f>
        <v>468486</v>
      </c>
      <c r="I52" s="18"/>
      <c r="J52" s="18">
        <f t="shared" si="3"/>
        <v>3071186</v>
      </c>
      <c r="K52" s="10"/>
      <c r="L52" s="10"/>
      <c r="M52" s="10"/>
    </row>
    <row r="53" spans="1:13" ht="31.2" x14ac:dyDescent="0.3">
      <c r="A53" s="6">
        <f t="shared" si="4"/>
        <v>47</v>
      </c>
      <c r="B53" s="16" t="s">
        <v>6</v>
      </c>
      <c r="C53" s="16" t="s">
        <v>79</v>
      </c>
      <c r="D53" s="14" t="s">
        <v>78</v>
      </c>
      <c r="E53" s="14" t="s">
        <v>7</v>
      </c>
      <c r="F53" s="17">
        <v>44530</v>
      </c>
      <c r="G53" s="18">
        <v>180000</v>
      </c>
      <c r="H53" s="18">
        <f>+G53*18%</f>
        <v>32400</v>
      </c>
      <c r="I53" s="18"/>
      <c r="J53" s="18">
        <f t="shared" si="3"/>
        <v>212400</v>
      </c>
      <c r="K53" s="10"/>
      <c r="L53" s="10"/>
      <c r="M53" s="10"/>
    </row>
    <row r="54" spans="1:13" ht="31.2" x14ac:dyDescent="0.3">
      <c r="A54" s="6">
        <f t="shared" si="4"/>
        <v>48</v>
      </c>
      <c r="B54" s="40" t="s">
        <v>210</v>
      </c>
      <c r="C54" s="40" t="s">
        <v>238</v>
      </c>
      <c r="D54" s="41" t="s">
        <v>224</v>
      </c>
      <c r="E54" s="41" t="s">
        <v>214</v>
      </c>
      <c r="F54" s="42">
        <v>44530</v>
      </c>
      <c r="G54" s="43">
        <v>50000</v>
      </c>
      <c r="H54" s="43">
        <v>0</v>
      </c>
      <c r="I54" s="43"/>
      <c r="J54" s="43">
        <f t="shared" si="3"/>
        <v>50000</v>
      </c>
      <c r="K54" s="10"/>
      <c r="L54" s="10"/>
      <c r="M54" s="10"/>
    </row>
    <row r="55" spans="1:13" ht="31.2" x14ac:dyDescent="0.3">
      <c r="A55" s="6">
        <f t="shared" si="4"/>
        <v>49</v>
      </c>
      <c r="B55" s="40" t="s">
        <v>210</v>
      </c>
      <c r="C55" s="40" t="s">
        <v>238</v>
      </c>
      <c r="D55" s="41" t="s">
        <v>223</v>
      </c>
      <c r="E55" s="41" t="s">
        <v>214</v>
      </c>
      <c r="F55" s="42">
        <v>44530</v>
      </c>
      <c r="G55" s="43">
        <v>8000</v>
      </c>
      <c r="H55" s="43">
        <v>0</v>
      </c>
      <c r="I55" s="43"/>
      <c r="J55" s="43">
        <f t="shared" si="3"/>
        <v>8000</v>
      </c>
      <c r="K55" s="10"/>
      <c r="L55" s="10"/>
      <c r="M55" s="10"/>
    </row>
    <row r="56" spans="1:13" ht="31.2" x14ac:dyDescent="0.3">
      <c r="A56" s="6">
        <f t="shared" si="4"/>
        <v>50</v>
      </c>
      <c r="B56" s="16" t="s">
        <v>95</v>
      </c>
      <c r="C56" s="16" t="s">
        <v>98</v>
      </c>
      <c r="D56" s="14" t="s">
        <v>96</v>
      </c>
      <c r="E56" s="14" t="s">
        <v>97</v>
      </c>
      <c r="F56" s="17">
        <v>44531</v>
      </c>
      <c r="G56" s="18">
        <v>29600</v>
      </c>
      <c r="H56" s="18">
        <f>+G56*18%</f>
        <v>5328</v>
      </c>
      <c r="I56" s="18"/>
      <c r="J56" s="18">
        <f t="shared" si="3"/>
        <v>34928</v>
      </c>
      <c r="K56" s="10"/>
      <c r="L56" s="10"/>
      <c r="M56" s="10"/>
    </row>
    <row r="57" spans="1:13" x14ac:dyDescent="0.3">
      <c r="A57" s="6">
        <f t="shared" si="4"/>
        <v>51</v>
      </c>
      <c r="B57" s="16" t="s">
        <v>4</v>
      </c>
      <c r="C57" s="16" t="s">
        <v>341</v>
      </c>
      <c r="D57" s="14" t="s">
        <v>82</v>
      </c>
      <c r="E57" s="14" t="s">
        <v>5</v>
      </c>
      <c r="F57" s="17">
        <v>44532</v>
      </c>
      <c r="G57" s="18">
        <v>1200000</v>
      </c>
      <c r="H57" s="18">
        <f>+G57*18%</f>
        <v>216000</v>
      </c>
      <c r="I57" s="18"/>
      <c r="J57" s="18">
        <f t="shared" si="3"/>
        <v>1416000</v>
      </c>
      <c r="K57" s="10"/>
      <c r="L57" s="10"/>
      <c r="M57" s="10"/>
    </row>
    <row r="58" spans="1:13" x14ac:dyDescent="0.3">
      <c r="A58" s="6">
        <f t="shared" si="4"/>
        <v>52</v>
      </c>
      <c r="B58" s="16" t="s">
        <v>4</v>
      </c>
      <c r="C58" s="16" t="s">
        <v>341</v>
      </c>
      <c r="D58" s="14" t="s">
        <v>81</v>
      </c>
      <c r="E58" s="14" t="s">
        <v>5</v>
      </c>
      <c r="F58" s="17">
        <v>44532</v>
      </c>
      <c r="G58" s="18">
        <v>1200000</v>
      </c>
      <c r="H58" s="18">
        <f>+G58*18%</f>
        <v>216000</v>
      </c>
      <c r="I58" s="18"/>
      <c r="J58" s="18">
        <f t="shared" si="3"/>
        <v>1416000</v>
      </c>
      <c r="K58" s="10"/>
      <c r="L58" s="10"/>
      <c r="M58" s="10"/>
    </row>
    <row r="59" spans="1:13" x14ac:dyDescent="0.3">
      <c r="A59" s="6">
        <f t="shared" si="4"/>
        <v>53</v>
      </c>
      <c r="B59" s="16" t="s">
        <v>4</v>
      </c>
      <c r="C59" s="16" t="s">
        <v>341</v>
      </c>
      <c r="D59" s="14" t="s">
        <v>80</v>
      </c>
      <c r="E59" s="14" t="s">
        <v>5</v>
      </c>
      <c r="F59" s="17">
        <v>44533</v>
      </c>
      <c r="G59" s="18">
        <v>1200000</v>
      </c>
      <c r="H59" s="18">
        <f>+G59*18%</f>
        <v>216000</v>
      </c>
      <c r="I59" s="18"/>
      <c r="J59" s="18">
        <f t="shared" si="3"/>
        <v>1416000</v>
      </c>
      <c r="K59" s="10"/>
      <c r="L59" s="10"/>
      <c r="M59" s="10"/>
    </row>
    <row r="60" spans="1:13" ht="31.2" x14ac:dyDescent="0.3">
      <c r="A60" s="6">
        <f t="shared" si="4"/>
        <v>54</v>
      </c>
      <c r="B60" s="40" t="s">
        <v>284</v>
      </c>
      <c r="C60" s="40" t="s">
        <v>238</v>
      </c>
      <c r="D60" s="41" t="s">
        <v>228</v>
      </c>
      <c r="E60" s="41" t="s">
        <v>215</v>
      </c>
      <c r="F60" s="42">
        <v>44533</v>
      </c>
      <c r="G60" s="43">
        <v>15000</v>
      </c>
      <c r="H60" s="43">
        <v>0</v>
      </c>
      <c r="I60" s="43"/>
      <c r="J60" s="43">
        <f t="shared" si="3"/>
        <v>15000</v>
      </c>
      <c r="K60" s="10"/>
      <c r="L60" s="10"/>
      <c r="M60" s="10"/>
    </row>
    <row r="61" spans="1:13" ht="31.2" x14ac:dyDescent="0.3">
      <c r="A61" s="6">
        <f t="shared" si="4"/>
        <v>55</v>
      </c>
      <c r="B61" s="40" t="s">
        <v>284</v>
      </c>
      <c r="C61" s="40" t="s">
        <v>238</v>
      </c>
      <c r="D61" s="41" t="s">
        <v>227</v>
      </c>
      <c r="E61" s="41" t="s">
        <v>215</v>
      </c>
      <c r="F61" s="42">
        <v>44533</v>
      </c>
      <c r="G61" s="43">
        <v>15000</v>
      </c>
      <c r="H61" s="43">
        <v>0</v>
      </c>
      <c r="I61" s="43"/>
      <c r="J61" s="43">
        <f t="shared" si="3"/>
        <v>15000</v>
      </c>
      <c r="K61" s="10"/>
      <c r="L61" s="10"/>
      <c r="M61" s="10"/>
    </row>
    <row r="62" spans="1:13" ht="31.2" x14ac:dyDescent="0.3">
      <c r="A62" s="6">
        <f t="shared" si="4"/>
        <v>56</v>
      </c>
      <c r="B62" s="40" t="s">
        <v>284</v>
      </c>
      <c r="C62" s="40" t="s">
        <v>238</v>
      </c>
      <c r="D62" s="41" t="s">
        <v>226</v>
      </c>
      <c r="E62" s="41" t="s">
        <v>215</v>
      </c>
      <c r="F62" s="42">
        <v>44533</v>
      </c>
      <c r="G62" s="43">
        <v>15000</v>
      </c>
      <c r="H62" s="43">
        <v>0</v>
      </c>
      <c r="I62" s="43"/>
      <c r="J62" s="43">
        <f t="shared" si="3"/>
        <v>15000</v>
      </c>
      <c r="K62" s="10"/>
      <c r="L62" s="10"/>
      <c r="M62" s="10"/>
    </row>
    <row r="63" spans="1:13" x14ac:dyDescent="0.3">
      <c r="A63" s="6">
        <f t="shared" si="4"/>
        <v>57</v>
      </c>
      <c r="B63" s="16" t="s">
        <v>4</v>
      </c>
      <c r="C63" s="16" t="s">
        <v>341</v>
      </c>
      <c r="D63" s="14" t="s">
        <v>83</v>
      </c>
      <c r="E63" s="14" t="s">
        <v>5</v>
      </c>
      <c r="F63" s="17">
        <v>44534</v>
      </c>
      <c r="G63" s="18">
        <v>1200000</v>
      </c>
      <c r="H63" s="18">
        <f t="shared" ref="H63:H69" si="5">+G63*18%</f>
        <v>216000</v>
      </c>
      <c r="I63" s="18"/>
      <c r="J63" s="18">
        <f t="shared" si="3"/>
        <v>1416000</v>
      </c>
      <c r="K63" s="10"/>
      <c r="L63" s="10"/>
      <c r="M63" s="10"/>
    </row>
    <row r="64" spans="1:13" x14ac:dyDescent="0.3">
      <c r="A64" s="6">
        <f t="shared" si="4"/>
        <v>58</v>
      </c>
      <c r="B64" s="16" t="s">
        <v>4</v>
      </c>
      <c r="C64" s="16" t="s">
        <v>341</v>
      </c>
      <c r="D64" s="14" t="s">
        <v>84</v>
      </c>
      <c r="E64" s="14" t="s">
        <v>5</v>
      </c>
      <c r="F64" s="17">
        <v>44534</v>
      </c>
      <c r="G64" s="18">
        <v>1200000</v>
      </c>
      <c r="H64" s="18">
        <f t="shared" si="5"/>
        <v>216000</v>
      </c>
      <c r="I64" s="18"/>
      <c r="J64" s="18">
        <f t="shared" si="3"/>
        <v>1416000</v>
      </c>
      <c r="K64" s="10"/>
      <c r="L64" s="10"/>
      <c r="M64" s="10"/>
    </row>
    <row r="65" spans="1:13" x14ac:dyDescent="0.3">
      <c r="A65" s="6">
        <f t="shared" si="4"/>
        <v>59</v>
      </c>
      <c r="B65" s="16" t="s">
        <v>4</v>
      </c>
      <c r="C65" s="16" t="s">
        <v>341</v>
      </c>
      <c r="D65" s="14" t="s">
        <v>85</v>
      </c>
      <c r="E65" s="14" t="s">
        <v>5</v>
      </c>
      <c r="F65" s="17">
        <v>44534</v>
      </c>
      <c r="G65" s="18">
        <v>1200000</v>
      </c>
      <c r="H65" s="18">
        <f t="shared" si="5"/>
        <v>216000</v>
      </c>
      <c r="I65" s="18"/>
      <c r="J65" s="18">
        <f t="shared" si="3"/>
        <v>1416000</v>
      </c>
      <c r="K65" s="10"/>
      <c r="L65" s="10"/>
      <c r="M65" s="10"/>
    </row>
    <row r="66" spans="1:13" x14ac:dyDescent="0.3">
      <c r="A66" s="6">
        <f t="shared" si="4"/>
        <v>60</v>
      </c>
      <c r="B66" s="16" t="s">
        <v>4</v>
      </c>
      <c r="C66" s="16" t="s">
        <v>341</v>
      </c>
      <c r="D66" s="14" t="s">
        <v>86</v>
      </c>
      <c r="E66" s="14" t="s">
        <v>5</v>
      </c>
      <c r="F66" s="17">
        <v>44534</v>
      </c>
      <c r="G66" s="18">
        <v>1200000</v>
      </c>
      <c r="H66" s="18">
        <f t="shared" si="5"/>
        <v>216000</v>
      </c>
      <c r="I66" s="18"/>
      <c r="J66" s="18">
        <f t="shared" ref="J66:J97" si="6">+G66+H66+I66</f>
        <v>1416000</v>
      </c>
      <c r="K66" s="10"/>
      <c r="L66" s="10"/>
      <c r="M66" s="10"/>
    </row>
    <row r="67" spans="1:13" x14ac:dyDescent="0.3">
      <c r="A67" s="6">
        <f t="shared" si="4"/>
        <v>61</v>
      </c>
      <c r="B67" s="16" t="s">
        <v>4</v>
      </c>
      <c r="C67" s="16" t="s">
        <v>341</v>
      </c>
      <c r="D67" s="14" t="s">
        <v>87</v>
      </c>
      <c r="E67" s="14" t="s">
        <v>5</v>
      </c>
      <c r="F67" s="17">
        <v>44534</v>
      </c>
      <c r="G67" s="18">
        <v>1200000</v>
      </c>
      <c r="H67" s="18">
        <f t="shared" si="5"/>
        <v>216000</v>
      </c>
      <c r="I67" s="18"/>
      <c r="J67" s="18">
        <f t="shared" si="6"/>
        <v>1416000</v>
      </c>
      <c r="K67" s="10"/>
      <c r="L67" s="10"/>
      <c r="M67" s="10"/>
    </row>
    <row r="68" spans="1:13" x14ac:dyDescent="0.3">
      <c r="A68" s="6">
        <f t="shared" si="4"/>
        <v>62</v>
      </c>
      <c r="B68" s="16" t="s">
        <v>4</v>
      </c>
      <c r="C68" s="16" t="s">
        <v>341</v>
      </c>
      <c r="D68" s="14" t="s">
        <v>88</v>
      </c>
      <c r="E68" s="14" t="s">
        <v>5</v>
      </c>
      <c r="F68" s="17">
        <v>44534</v>
      </c>
      <c r="G68" s="18">
        <v>1200000</v>
      </c>
      <c r="H68" s="18">
        <f t="shared" si="5"/>
        <v>216000</v>
      </c>
      <c r="I68" s="18"/>
      <c r="J68" s="18">
        <f t="shared" si="6"/>
        <v>1416000</v>
      </c>
      <c r="K68" s="10"/>
      <c r="L68" s="10"/>
      <c r="M68" s="10"/>
    </row>
    <row r="69" spans="1:13" x14ac:dyDescent="0.3">
      <c r="A69" s="6">
        <f t="shared" si="4"/>
        <v>63</v>
      </c>
      <c r="B69" s="16" t="s">
        <v>4</v>
      </c>
      <c r="C69" s="16" t="s">
        <v>341</v>
      </c>
      <c r="D69" s="14" t="s">
        <v>89</v>
      </c>
      <c r="E69" s="14" t="s">
        <v>5</v>
      </c>
      <c r="F69" s="17">
        <v>44534</v>
      </c>
      <c r="G69" s="18">
        <v>1200000</v>
      </c>
      <c r="H69" s="18">
        <f t="shared" si="5"/>
        <v>216000</v>
      </c>
      <c r="I69" s="18"/>
      <c r="J69" s="18">
        <f t="shared" si="6"/>
        <v>1416000</v>
      </c>
      <c r="K69" s="10"/>
      <c r="L69" s="10"/>
      <c r="M69" s="10"/>
    </row>
    <row r="70" spans="1:13" ht="31.2" x14ac:dyDescent="0.3">
      <c r="A70" s="6">
        <f t="shared" si="4"/>
        <v>64</v>
      </c>
      <c r="B70" s="40" t="s">
        <v>284</v>
      </c>
      <c r="C70" s="40" t="s">
        <v>238</v>
      </c>
      <c r="D70" s="41" t="s">
        <v>229</v>
      </c>
      <c r="E70" s="41" t="s">
        <v>215</v>
      </c>
      <c r="F70" s="42">
        <v>44534</v>
      </c>
      <c r="G70" s="43">
        <v>15000</v>
      </c>
      <c r="H70" s="43">
        <v>0</v>
      </c>
      <c r="I70" s="43"/>
      <c r="J70" s="43">
        <f t="shared" si="6"/>
        <v>15000</v>
      </c>
      <c r="K70" s="10"/>
      <c r="L70" s="10"/>
      <c r="M70" s="10"/>
    </row>
    <row r="71" spans="1:13" ht="31.2" x14ac:dyDescent="0.3">
      <c r="A71" s="6">
        <f t="shared" ref="A71:A102" si="7">A70+1</f>
        <v>65</v>
      </c>
      <c r="B71" s="40" t="s">
        <v>284</v>
      </c>
      <c r="C71" s="40" t="s">
        <v>238</v>
      </c>
      <c r="D71" s="41" t="s">
        <v>230</v>
      </c>
      <c r="E71" s="41" t="s">
        <v>215</v>
      </c>
      <c r="F71" s="42">
        <v>44534</v>
      </c>
      <c r="G71" s="43">
        <v>15000</v>
      </c>
      <c r="H71" s="43">
        <v>0</v>
      </c>
      <c r="I71" s="43"/>
      <c r="J71" s="43">
        <f t="shared" si="6"/>
        <v>15000</v>
      </c>
      <c r="K71" s="10"/>
      <c r="L71" s="10"/>
      <c r="M71" s="10"/>
    </row>
    <row r="72" spans="1:13" ht="31.2" x14ac:dyDescent="0.3">
      <c r="A72" s="6">
        <f t="shared" si="7"/>
        <v>66</v>
      </c>
      <c r="B72" s="40" t="s">
        <v>284</v>
      </c>
      <c r="C72" s="40" t="s">
        <v>238</v>
      </c>
      <c r="D72" s="41" t="s">
        <v>231</v>
      </c>
      <c r="E72" s="41" t="s">
        <v>215</v>
      </c>
      <c r="F72" s="42">
        <v>44534</v>
      </c>
      <c r="G72" s="43">
        <v>15000</v>
      </c>
      <c r="H72" s="43">
        <v>0</v>
      </c>
      <c r="I72" s="43"/>
      <c r="J72" s="43">
        <f t="shared" si="6"/>
        <v>15000</v>
      </c>
      <c r="K72" s="10"/>
      <c r="L72" s="10"/>
      <c r="M72" s="19"/>
    </row>
    <row r="73" spans="1:13" ht="31.2" x14ac:dyDescent="0.3">
      <c r="A73" s="6">
        <f t="shared" si="7"/>
        <v>67</v>
      </c>
      <c r="B73" s="40" t="s">
        <v>284</v>
      </c>
      <c r="C73" s="40" t="s">
        <v>238</v>
      </c>
      <c r="D73" s="41" t="s">
        <v>232</v>
      </c>
      <c r="E73" s="41" t="s">
        <v>215</v>
      </c>
      <c r="F73" s="42">
        <v>44534</v>
      </c>
      <c r="G73" s="43">
        <v>15000</v>
      </c>
      <c r="H73" s="43">
        <v>0</v>
      </c>
      <c r="I73" s="43"/>
      <c r="J73" s="43">
        <f t="shared" si="6"/>
        <v>15000</v>
      </c>
      <c r="K73" s="10"/>
      <c r="L73" s="10"/>
      <c r="M73" s="10"/>
    </row>
    <row r="74" spans="1:13" ht="31.2" x14ac:dyDescent="0.3">
      <c r="A74" s="6">
        <f t="shared" si="7"/>
        <v>68</v>
      </c>
      <c r="B74" s="40" t="s">
        <v>284</v>
      </c>
      <c r="C74" s="40" t="s">
        <v>238</v>
      </c>
      <c r="D74" s="41" t="s">
        <v>233</v>
      </c>
      <c r="E74" s="41" t="s">
        <v>215</v>
      </c>
      <c r="F74" s="42">
        <v>44534</v>
      </c>
      <c r="G74" s="43">
        <v>15000</v>
      </c>
      <c r="H74" s="43">
        <v>0</v>
      </c>
      <c r="I74" s="43"/>
      <c r="J74" s="43">
        <f t="shared" si="6"/>
        <v>15000</v>
      </c>
      <c r="K74" s="10"/>
      <c r="L74" s="10"/>
      <c r="M74" s="10"/>
    </row>
    <row r="75" spans="1:13" ht="31.2" x14ac:dyDescent="0.3">
      <c r="A75" s="6">
        <f t="shared" si="7"/>
        <v>69</v>
      </c>
      <c r="B75" s="40" t="s">
        <v>284</v>
      </c>
      <c r="C75" s="40" t="s">
        <v>238</v>
      </c>
      <c r="D75" s="41" t="s">
        <v>234</v>
      </c>
      <c r="E75" s="41" t="s">
        <v>215</v>
      </c>
      <c r="F75" s="42">
        <v>44534</v>
      </c>
      <c r="G75" s="43">
        <v>15000</v>
      </c>
      <c r="H75" s="43">
        <v>0</v>
      </c>
      <c r="I75" s="43"/>
      <c r="J75" s="43">
        <f t="shared" si="6"/>
        <v>15000</v>
      </c>
      <c r="K75" s="10"/>
      <c r="L75" s="10"/>
      <c r="M75" s="10"/>
    </row>
    <row r="76" spans="1:13" ht="31.2" x14ac:dyDescent="0.3">
      <c r="A76" s="6">
        <f t="shared" si="7"/>
        <v>70</v>
      </c>
      <c r="B76" s="40" t="s">
        <v>284</v>
      </c>
      <c r="C76" s="40" t="s">
        <v>238</v>
      </c>
      <c r="D76" s="41" t="s">
        <v>235</v>
      </c>
      <c r="E76" s="41" t="s">
        <v>215</v>
      </c>
      <c r="F76" s="42">
        <v>44534</v>
      </c>
      <c r="G76" s="43">
        <v>15000</v>
      </c>
      <c r="H76" s="43">
        <v>0</v>
      </c>
      <c r="I76" s="43"/>
      <c r="J76" s="43">
        <f t="shared" si="6"/>
        <v>15000</v>
      </c>
      <c r="K76" s="10"/>
      <c r="L76" s="10"/>
      <c r="M76" s="10"/>
    </row>
    <row r="77" spans="1:13" x14ac:dyDescent="0.3">
      <c r="A77" s="6">
        <f t="shared" si="7"/>
        <v>71</v>
      </c>
      <c r="B77" s="16" t="s">
        <v>4</v>
      </c>
      <c r="C77" s="16" t="s">
        <v>341</v>
      </c>
      <c r="D77" s="14" t="s">
        <v>90</v>
      </c>
      <c r="E77" s="14" t="s">
        <v>5</v>
      </c>
      <c r="F77" s="17">
        <v>44538</v>
      </c>
      <c r="G77" s="18">
        <v>1200000</v>
      </c>
      <c r="H77" s="18">
        <f>+G77*18%</f>
        <v>216000</v>
      </c>
      <c r="I77" s="18"/>
      <c r="J77" s="18">
        <f t="shared" si="6"/>
        <v>1416000</v>
      </c>
      <c r="K77" s="10"/>
      <c r="L77" s="10"/>
      <c r="M77" s="10"/>
    </row>
    <row r="78" spans="1:13" x14ac:dyDescent="0.3">
      <c r="A78" s="6">
        <f t="shared" si="7"/>
        <v>72</v>
      </c>
      <c r="B78" s="16" t="s">
        <v>4</v>
      </c>
      <c r="C78" s="16" t="s">
        <v>341</v>
      </c>
      <c r="D78" s="14" t="s">
        <v>91</v>
      </c>
      <c r="E78" s="14" t="s">
        <v>5</v>
      </c>
      <c r="F78" s="17">
        <v>44538</v>
      </c>
      <c r="G78" s="18">
        <v>1200000</v>
      </c>
      <c r="H78" s="18">
        <f>+G78*18%</f>
        <v>216000</v>
      </c>
      <c r="I78" s="18"/>
      <c r="J78" s="18">
        <f t="shared" si="6"/>
        <v>1416000</v>
      </c>
      <c r="K78" s="10"/>
      <c r="L78" s="10"/>
      <c r="M78" s="10"/>
    </row>
    <row r="79" spans="1:13" ht="31.2" x14ac:dyDescent="0.3">
      <c r="A79" s="6">
        <f t="shared" si="7"/>
        <v>73</v>
      </c>
      <c r="B79" s="36" t="s">
        <v>205</v>
      </c>
      <c r="C79" s="36" t="s">
        <v>94</v>
      </c>
      <c r="D79" s="37" t="s">
        <v>92</v>
      </c>
      <c r="E79" s="37" t="s">
        <v>93</v>
      </c>
      <c r="F79" s="38">
        <v>44538</v>
      </c>
      <c r="G79" s="39">
        <f>18750+500</f>
        <v>19250</v>
      </c>
      <c r="H79" s="39">
        <f>+G79*18%</f>
        <v>3465</v>
      </c>
      <c r="I79" s="39"/>
      <c r="J79" s="39">
        <f t="shared" si="6"/>
        <v>22715</v>
      </c>
      <c r="K79" s="10"/>
      <c r="L79" s="10"/>
      <c r="M79" s="10"/>
    </row>
    <row r="80" spans="1:13" ht="31.2" x14ac:dyDescent="0.3">
      <c r="A80" s="6">
        <f t="shared" si="7"/>
        <v>74</v>
      </c>
      <c r="B80" s="40" t="s">
        <v>284</v>
      </c>
      <c r="C80" s="40" t="s">
        <v>238</v>
      </c>
      <c r="D80" s="41" t="s">
        <v>237</v>
      </c>
      <c r="E80" s="41" t="s">
        <v>215</v>
      </c>
      <c r="F80" s="42">
        <v>44538</v>
      </c>
      <c r="G80" s="43">
        <v>15000</v>
      </c>
      <c r="H80" s="43">
        <v>0</v>
      </c>
      <c r="I80" s="43"/>
      <c r="J80" s="43">
        <f t="shared" si="6"/>
        <v>15000</v>
      </c>
      <c r="K80" s="10"/>
      <c r="L80" s="10"/>
      <c r="M80" s="10"/>
    </row>
    <row r="81" spans="1:13" ht="31.2" x14ac:dyDescent="0.3">
      <c r="A81" s="6">
        <f t="shared" si="7"/>
        <v>75</v>
      </c>
      <c r="B81" s="40" t="s">
        <v>284</v>
      </c>
      <c r="C81" s="40" t="s">
        <v>238</v>
      </c>
      <c r="D81" s="41" t="s">
        <v>236</v>
      </c>
      <c r="E81" s="41" t="s">
        <v>215</v>
      </c>
      <c r="F81" s="42">
        <v>44538</v>
      </c>
      <c r="G81" s="43">
        <v>15000</v>
      </c>
      <c r="H81" s="43">
        <v>0</v>
      </c>
      <c r="I81" s="43"/>
      <c r="J81" s="43">
        <f t="shared" si="6"/>
        <v>15000</v>
      </c>
      <c r="K81" s="10"/>
      <c r="L81" s="10"/>
      <c r="M81" s="10"/>
    </row>
    <row r="82" spans="1:13" ht="46.8" x14ac:dyDescent="0.3">
      <c r="A82" s="6">
        <f t="shared" si="7"/>
        <v>76</v>
      </c>
      <c r="B82" s="16" t="s">
        <v>6</v>
      </c>
      <c r="C82" s="16" t="s">
        <v>285</v>
      </c>
      <c r="D82" s="14" t="s">
        <v>99</v>
      </c>
      <c r="E82" s="14" t="s">
        <v>7</v>
      </c>
      <c r="F82" s="17">
        <v>44540</v>
      </c>
      <c r="G82" s="18">
        <v>840000</v>
      </c>
      <c r="H82" s="18">
        <f>+G82*18%</f>
        <v>151200</v>
      </c>
      <c r="I82" s="18"/>
      <c r="J82" s="18">
        <f t="shared" si="6"/>
        <v>991200</v>
      </c>
      <c r="K82" s="10"/>
      <c r="L82" s="10"/>
      <c r="M82" s="10"/>
    </row>
    <row r="83" spans="1:13" x14ac:dyDescent="0.3">
      <c r="A83" s="6">
        <f t="shared" si="7"/>
        <v>77</v>
      </c>
      <c r="B83" s="40" t="s">
        <v>212</v>
      </c>
      <c r="C83" s="40" t="s">
        <v>238</v>
      </c>
      <c r="D83" s="41" t="s">
        <v>207</v>
      </c>
      <c r="E83" s="41" t="s">
        <v>208</v>
      </c>
      <c r="F83" s="42">
        <v>44540</v>
      </c>
      <c r="G83" s="43">
        <v>34500</v>
      </c>
      <c r="H83" s="43">
        <v>0</v>
      </c>
      <c r="I83" s="43"/>
      <c r="J83" s="43">
        <f t="shared" si="6"/>
        <v>34500</v>
      </c>
      <c r="K83" s="10"/>
      <c r="L83" s="10"/>
      <c r="M83" s="10"/>
    </row>
    <row r="84" spans="1:13" ht="31.2" x14ac:dyDescent="0.3">
      <c r="A84" s="6">
        <f t="shared" si="7"/>
        <v>78</v>
      </c>
      <c r="B84" s="36" t="s">
        <v>205</v>
      </c>
      <c r="C84" s="36" t="s">
        <v>94</v>
      </c>
      <c r="D84" s="37" t="s">
        <v>204</v>
      </c>
      <c r="E84" s="37" t="s">
        <v>93</v>
      </c>
      <c r="F84" s="38">
        <v>44548</v>
      </c>
      <c r="G84" s="39">
        <f>19875+500</f>
        <v>20375</v>
      </c>
      <c r="H84" s="39">
        <f>+G84*18%</f>
        <v>3667.5</v>
      </c>
      <c r="I84" s="39"/>
      <c r="J84" s="39">
        <f t="shared" si="6"/>
        <v>24042.5</v>
      </c>
      <c r="K84" s="10"/>
      <c r="L84" s="10"/>
      <c r="M84" s="10"/>
    </row>
    <row r="85" spans="1:13" x14ac:dyDescent="0.3">
      <c r="A85" s="6">
        <f t="shared" si="7"/>
        <v>79</v>
      </c>
      <c r="B85" s="16" t="s">
        <v>4</v>
      </c>
      <c r="C85" s="16" t="s">
        <v>340</v>
      </c>
      <c r="D85" s="14" t="s">
        <v>241</v>
      </c>
      <c r="E85" s="14" t="s">
        <v>5</v>
      </c>
      <c r="F85" s="17">
        <v>44553</v>
      </c>
      <c r="G85" s="18">
        <v>1280000</v>
      </c>
      <c r="H85" s="18">
        <f>+G85*18%</f>
        <v>230400</v>
      </c>
      <c r="I85" s="18"/>
      <c r="J85" s="18">
        <f t="shared" si="6"/>
        <v>1510400</v>
      </c>
      <c r="K85" s="10"/>
      <c r="L85" s="10"/>
      <c r="M85" s="10"/>
    </row>
    <row r="86" spans="1:13" ht="31.2" x14ac:dyDescent="0.3">
      <c r="A86" s="6">
        <f t="shared" si="7"/>
        <v>80</v>
      </c>
      <c r="B86" s="40" t="s">
        <v>284</v>
      </c>
      <c r="C86" s="40" t="s">
        <v>238</v>
      </c>
      <c r="D86" s="41" t="s">
        <v>242</v>
      </c>
      <c r="E86" s="41" t="s">
        <v>215</v>
      </c>
      <c r="F86" s="42">
        <v>44553</v>
      </c>
      <c r="G86" s="43">
        <v>15000</v>
      </c>
      <c r="H86" s="43">
        <v>0</v>
      </c>
      <c r="I86" s="43"/>
      <c r="J86" s="43">
        <f t="shared" si="6"/>
        <v>15000</v>
      </c>
      <c r="K86" s="10"/>
      <c r="L86" s="10"/>
      <c r="M86" s="10"/>
    </row>
    <row r="87" spans="1:13" x14ac:dyDescent="0.3">
      <c r="A87" s="6">
        <f t="shared" si="7"/>
        <v>81</v>
      </c>
      <c r="B87" s="16" t="s">
        <v>275</v>
      </c>
      <c r="C87" s="16" t="s">
        <v>278</v>
      </c>
      <c r="D87" s="14" t="s">
        <v>276</v>
      </c>
      <c r="E87" s="14" t="s">
        <v>277</v>
      </c>
      <c r="F87" s="17">
        <v>44559</v>
      </c>
      <c r="G87" s="18">
        <v>38500</v>
      </c>
      <c r="H87" s="18">
        <f t="shared" ref="H87:H101" si="8">+G87*18%</f>
        <v>6930</v>
      </c>
      <c r="I87" s="18"/>
      <c r="J87" s="18">
        <f t="shared" si="6"/>
        <v>45430</v>
      </c>
      <c r="K87" s="19"/>
      <c r="L87" s="10"/>
      <c r="M87" s="10"/>
    </row>
    <row r="88" spans="1:13" ht="31.2" x14ac:dyDescent="0.3">
      <c r="A88" s="6">
        <f t="shared" si="7"/>
        <v>82</v>
      </c>
      <c r="B88" s="16" t="s">
        <v>48</v>
      </c>
      <c r="C88" s="16" t="s">
        <v>290</v>
      </c>
      <c r="D88" s="14" t="s">
        <v>289</v>
      </c>
      <c r="E88" s="14" t="s">
        <v>50</v>
      </c>
      <c r="F88" s="17">
        <v>44571</v>
      </c>
      <c r="G88" s="18">
        <v>248149</v>
      </c>
      <c r="H88" s="18">
        <f t="shared" si="8"/>
        <v>44666.82</v>
      </c>
      <c r="I88" s="18"/>
      <c r="J88" s="18">
        <f t="shared" si="6"/>
        <v>292815.82</v>
      </c>
      <c r="K88" s="10"/>
      <c r="L88" s="10"/>
      <c r="M88" s="10"/>
    </row>
    <row r="89" spans="1:13" x14ac:dyDescent="0.3">
      <c r="A89" s="6">
        <f t="shared" si="7"/>
        <v>83</v>
      </c>
      <c r="B89" s="36" t="s">
        <v>247</v>
      </c>
      <c r="C89" s="36" t="s">
        <v>250</v>
      </c>
      <c r="D89" s="37" t="s">
        <v>253</v>
      </c>
      <c r="E89" s="37" t="s">
        <v>249</v>
      </c>
      <c r="F89" s="38">
        <v>44571</v>
      </c>
      <c r="G89" s="39">
        <f>37045-13642.05</f>
        <v>23402.95</v>
      </c>
      <c r="H89" s="39">
        <f t="shared" si="8"/>
        <v>4212.5309999999999</v>
      </c>
      <c r="I89" s="39"/>
      <c r="J89" s="39">
        <f t="shared" si="6"/>
        <v>27615.481</v>
      </c>
      <c r="K89" s="10"/>
      <c r="L89" s="10"/>
      <c r="M89" s="10"/>
    </row>
    <row r="90" spans="1:13" x14ac:dyDescent="0.3">
      <c r="A90" s="6">
        <f t="shared" si="7"/>
        <v>84</v>
      </c>
      <c r="B90" s="36" t="s">
        <v>247</v>
      </c>
      <c r="C90" s="36" t="s">
        <v>250</v>
      </c>
      <c r="D90" s="37" t="s">
        <v>254</v>
      </c>
      <c r="E90" s="37" t="s">
        <v>249</v>
      </c>
      <c r="F90" s="38">
        <v>44571</v>
      </c>
      <c r="G90" s="39">
        <f>35682.8-5694.59</f>
        <v>29988.210000000003</v>
      </c>
      <c r="H90" s="39">
        <f t="shared" si="8"/>
        <v>5397.8778000000002</v>
      </c>
      <c r="I90" s="39"/>
      <c r="J90" s="39">
        <f t="shared" si="6"/>
        <v>35386.087800000001</v>
      </c>
      <c r="K90" s="10"/>
      <c r="L90" s="10"/>
      <c r="M90" s="10"/>
    </row>
    <row r="91" spans="1:13" x14ac:dyDescent="0.3">
      <c r="A91" s="6">
        <f t="shared" si="7"/>
        <v>85</v>
      </c>
      <c r="B91" s="36" t="s">
        <v>247</v>
      </c>
      <c r="C91" s="36" t="s">
        <v>250</v>
      </c>
      <c r="D91" s="37" t="s">
        <v>255</v>
      </c>
      <c r="E91" s="37" t="s">
        <v>249</v>
      </c>
      <c r="F91" s="38">
        <v>44571</v>
      </c>
      <c r="G91" s="39">
        <f>26850-6812.17</f>
        <v>20037.830000000002</v>
      </c>
      <c r="H91" s="39">
        <f t="shared" si="8"/>
        <v>3606.8094000000001</v>
      </c>
      <c r="I91" s="39"/>
      <c r="J91" s="39">
        <f t="shared" si="6"/>
        <v>23644.6394</v>
      </c>
      <c r="K91" s="10"/>
      <c r="L91" s="10"/>
      <c r="M91" s="10"/>
    </row>
    <row r="92" spans="1:13" x14ac:dyDescent="0.3">
      <c r="A92" s="6">
        <f t="shared" si="7"/>
        <v>86</v>
      </c>
      <c r="B92" s="36" t="s">
        <v>247</v>
      </c>
      <c r="C92" s="36" t="s">
        <v>250</v>
      </c>
      <c r="D92" s="37" t="s">
        <v>256</v>
      </c>
      <c r="E92" s="37" t="s">
        <v>249</v>
      </c>
      <c r="F92" s="38">
        <v>44571</v>
      </c>
      <c r="G92" s="39">
        <f>40251.4-12948.62</f>
        <v>27302.78</v>
      </c>
      <c r="H92" s="39">
        <f t="shared" si="8"/>
        <v>4914.5003999999999</v>
      </c>
      <c r="I92" s="39"/>
      <c r="J92" s="39">
        <f t="shared" si="6"/>
        <v>32217.2804</v>
      </c>
      <c r="K92" s="10"/>
      <c r="L92" s="10"/>
      <c r="M92" s="10"/>
    </row>
    <row r="93" spans="1:13" x14ac:dyDescent="0.3">
      <c r="A93" s="6">
        <f t="shared" si="7"/>
        <v>87</v>
      </c>
      <c r="B93" s="36" t="s">
        <v>247</v>
      </c>
      <c r="C93" s="36" t="s">
        <v>250</v>
      </c>
      <c r="D93" s="37" t="s">
        <v>257</v>
      </c>
      <c r="E93" s="37" t="s">
        <v>249</v>
      </c>
      <c r="F93" s="38">
        <v>44572</v>
      </c>
      <c r="G93" s="39">
        <f>44967.3-16510.68</f>
        <v>28456.620000000003</v>
      </c>
      <c r="H93" s="39">
        <f t="shared" si="8"/>
        <v>5122.1916000000001</v>
      </c>
      <c r="I93" s="39"/>
      <c r="J93" s="39">
        <f t="shared" si="6"/>
        <v>33578.811600000001</v>
      </c>
      <c r="K93" s="10"/>
      <c r="L93" s="10"/>
      <c r="M93" s="10"/>
    </row>
    <row r="94" spans="1:13" x14ac:dyDescent="0.3">
      <c r="A94" s="6">
        <f t="shared" si="7"/>
        <v>88</v>
      </c>
      <c r="B94" s="36" t="s">
        <v>247</v>
      </c>
      <c r="C94" s="36" t="s">
        <v>250</v>
      </c>
      <c r="D94" s="37" t="s">
        <v>258</v>
      </c>
      <c r="E94" s="37" t="s">
        <v>249</v>
      </c>
      <c r="F94" s="38">
        <v>44572</v>
      </c>
      <c r="G94" s="39">
        <f>33353-13796.54</f>
        <v>19556.46</v>
      </c>
      <c r="H94" s="39">
        <f t="shared" si="8"/>
        <v>3520.1627999999996</v>
      </c>
      <c r="I94" s="39"/>
      <c r="J94" s="39">
        <f t="shared" si="6"/>
        <v>23076.622799999997</v>
      </c>
      <c r="K94" s="10"/>
      <c r="L94" s="10"/>
      <c r="M94" s="10"/>
    </row>
    <row r="95" spans="1:13" x14ac:dyDescent="0.3">
      <c r="A95" s="6">
        <f t="shared" si="7"/>
        <v>89</v>
      </c>
      <c r="B95" s="36" t="s">
        <v>247</v>
      </c>
      <c r="C95" s="36" t="s">
        <v>250</v>
      </c>
      <c r="D95" s="37" t="s">
        <v>259</v>
      </c>
      <c r="E95" s="37" t="s">
        <v>249</v>
      </c>
      <c r="F95" s="38">
        <v>44572</v>
      </c>
      <c r="G95" s="39">
        <f>8572-2596</f>
        <v>5976</v>
      </c>
      <c r="H95" s="39">
        <f t="shared" si="8"/>
        <v>1075.68</v>
      </c>
      <c r="I95" s="39"/>
      <c r="J95" s="39">
        <f t="shared" si="6"/>
        <v>7051.68</v>
      </c>
      <c r="K95" s="10"/>
      <c r="L95" s="10"/>
      <c r="M95" s="10"/>
    </row>
    <row r="96" spans="1:13" x14ac:dyDescent="0.3">
      <c r="A96" s="6">
        <f t="shared" si="7"/>
        <v>90</v>
      </c>
      <c r="B96" s="16" t="s">
        <v>275</v>
      </c>
      <c r="C96" s="16" t="s">
        <v>278</v>
      </c>
      <c r="D96" s="14" t="s">
        <v>309</v>
      </c>
      <c r="E96" s="14" t="s">
        <v>277</v>
      </c>
      <c r="F96" s="17">
        <v>44572</v>
      </c>
      <c r="G96" s="18">
        <v>7000</v>
      </c>
      <c r="H96" s="18">
        <f t="shared" si="8"/>
        <v>1260</v>
      </c>
      <c r="I96" s="18"/>
      <c r="J96" s="18">
        <f t="shared" si="6"/>
        <v>8260</v>
      </c>
      <c r="K96" s="19"/>
      <c r="L96" s="10"/>
      <c r="M96" s="10"/>
    </row>
    <row r="97" spans="1:13" x14ac:dyDescent="0.3">
      <c r="A97" s="6">
        <f t="shared" si="7"/>
        <v>91</v>
      </c>
      <c r="B97" s="16" t="s">
        <v>4</v>
      </c>
      <c r="C97" s="16" t="s">
        <v>341</v>
      </c>
      <c r="D97" s="14" t="s">
        <v>260</v>
      </c>
      <c r="E97" s="14" t="s">
        <v>5</v>
      </c>
      <c r="F97" s="17">
        <v>44573</v>
      </c>
      <c r="G97" s="18">
        <v>1200000</v>
      </c>
      <c r="H97" s="18">
        <f t="shared" si="8"/>
        <v>216000</v>
      </c>
      <c r="I97" s="18"/>
      <c r="J97" s="18">
        <f t="shared" si="6"/>
        <v>1416000</v>
      </c>
      <c r="K97" s="10"/>
      <c r="L97" s="10"/>
      <c r="M97" s="10"/>
    </row>
    <row r="98" spans="1:13" x14ac:dyDescent="0.3">
      <c r="A98" s="6">
        <f t="shared" si="7"/>
        <v>92</v>
      </c>
      <c r="B98" s="16" t="s">
        <v>4</v>
      </c>
      <c r="C98" s="16" t="s">
        <v>341</v>
      </c>
      <c r="D98" s="14" t="s">
        <v>261</v>
      </c>
      <c r="E98" s="14" t="s">
        <v>5</v>
      </c>
      <c r="F98" s="17">
        <v>44573</v>
      </c>
      <c r="G98" s="18">
        <v>1200000</v>
      </c>
      <c r="H98" s="18">
        <f t="shared" si="8"/>
        <v>216000</v>
      </c>
      <c r="I98" s="18"/>
      <c r="J98" s="18">
        <f t="shared" ref="J98:J123" si="9">+G98+H98+I98</f>
        <v>1416000</v>
      </c>
      <c r="K98" s="10"/>
      <c r="L98" s="10"/>
      <c r="M98" s="10"/>
    </row>
    <row r="99" spans="1:13" x14ac:dyDescent="0.3">
      <c r="A99" s="6">
        <f t="shared" si="7"/>
        <v>93</v>
      </c>
      <c r="B99" s="16" t="s">
        <v>4</v>
      </c>
      <c r="C99" s="16" t="s">
        <v>341</v>
      </c>
      <c r="D99" s="14" t="s">
        <v>262</v>
      </c>
      <c r="E99" s="14" t="s">
        <v>5</v>
      </c>
      <c r="F99" s="17">
        <v>44573</v>
      </c>
      <c r="G99" s="18">
        <v>1200000</v>
      </c>
      <c r="H99" s="18">
        <f t="shared" si="8"/>
        <v>216000</v>
      </c>
      <c r="I99" s="18"/>
      <c r="J99" s="18">
        <f t="shared" si="9"/>
        <v>1416000</v>
      </c>
      <c r="K99" s="10"/>
      <c r="L99" s="10"/>
      <c r="M99" s="10"/>
    </row>
    <row r="100" spans="1:13" x14ac:dyDescent="0.3">
      <c r="A100" s="6">
        <f t="shared" si="7"/>
        <v>94</v>
      </c>
      <c r="B100" s="16" t="s">
        <v>4</v>
      </c>
      <c r="C100" s="16" t="s">
        <v>341</v>
      </c>
      <c r="D100" s="14" t="s">
        <v>263</v>
      </c>
      <c r="E100" s="14" t="s">
        <v>5</v>
      </c>
      <c r="F100" s="17">
        <v>44573</v>
      </c>
      <c r="G100" s="18">
        <v>1200000</v>
      </c>
      <c r="H100" s="18">
        <f t="shared" si="8"/>
        <v>216000</v>
      </c>
      <c r="I100" s="18"/>
      <c r="J100" s="18">
        <f t="shared" si="9"/>
        <v>1416000</v>
      </c>
      <c r="K100" s="10"/>
      <c r="L100" s="10"/>
      <c r="M100" s="10"/>
    </row>
    <row r="101" spans="1:13" x14ac:dyDescent="0.3">
      <c r="A101" s="6">
        <f t="shared" si="7"/>
        <v>95</v>
      </c>
      <c r="B101" s="16" t="s">
        <v>4</v>
      </c>
      <c r="C101" s="16" t="s">
        <v>341</v>
      </c>
      <c r="D101" s="14" t="s">
        <v>264</v>
      </c>
      <c r="E101" s="14" t="s">
        <v>5</v>
      </c>
      <c r="F101" s="17">
        <v>44573</v>
      </c>
      <c r="G101" s="18">
        <v>1200000</v>
      </c>
      <c r="H101" s="18">
        <f t="shared" si="8"/>
        <v>216000</v>
      </c>
      <c r="I101" s="18"/>
      <c r="J101" s="18">
        <f t="shared" si="9"/>
        <v>1416000</v>
      </c>
      <c r="K101" s="10"/>
      <c r="L101" s="10"/>
      <c r="M101" s="10"/>
    </row>
    <row r="102" spans="1:13" ht="31.2" x14ac:dyDescent="0.3">
      <c r="A102" s="6">
        <f t="shared" si="7"/>
        <v>96</v>
      </c>
      <c r="B102" s="40" t="s">
        <v>284</v>
      </c>
      <c r="C102" s="40" t="s">
        <v>238</v>
      </c>
      <c r="D102" s="41" t="s">
        <v>269</v>
      </c>
      <c r="E102" s="41" t="s">
        <v>215</v>
      </c>
      <c r="F102" s="42">
        <v>44573</v>
      </c>
      <c r="G102" s="43">
        <v>15000</v>
      </c>
      <c r="H102" s="43">
        <v>0</v>
      </c>
      <c r="I102" s="43"/>
      <c r="J102" s="43">
        <f t="shared" si="9"/>
        <v>15000</v>
      </c>
      <c r="K102" s="10"/>
      <c r="L102" s="10"/>
      <c r="M102" s="10"/>
    </row>
    <row r="103" spans="1:13" ht="31.2" x14ac:dyDescent="0.3">
      <c r="A103" s="6">
        <f t="shared" ref="A103:A124" si="10">A102+1</f>
        <v>97</v>
      </c>
      <c r="B103" s="40" t="s">
        <v>284</v>
      </c>
      <c r="C103" s="40" t="s">
        <v>238</v>
      </c>
      <c r="D103" s="41" t="s">
        <v>270</v>
      </c>
      <c r="E103" s="41" t="s">
        <v>215</v>
      </c>
      <c r="F103" s="42">
        <v>44573</v>
      </c>
      <c r="G103" s="43">
        <v>15000</v>
      </c>
      <c r="H103" s="43">
        <v>0</v>
      </c>
      <c r="I103" s="43"/>
      <c r="J103" s="43">
        <f t="shared" si="9"/>
        <v>15000</v>
      </c>
      <c r="K103" s="10"/>
      <c r="L103" s="10"/>
      <c r="M103" s="10"/>
    </row>
    <row r="104" spans="1:13" ht="31.2" x14ac:dyDescent="0.3">
      <c r="A104" s="6">
        <f t="shared" si="10"/>
        <v>98</v>
      </c>
      <c r="B104" s="40" t="s">
        <v>284</v>
      </c>
      <c r="C104" s="40" t="s">
        <v>238</v>
      </c>
      <c r="D104" s="41" t="s">
        <v>271</v>
      </c>
      <c r="E104" s="41" t="s">
        <v>215</v>
      </c>
      <c r="F104" s="42">
        <v>44573</v>
      </c>
      <c r="G104" s="43">
        <v>15000</v>
      </c>
      <c r="H104" s="43">
        <v>0</v>
      </c>
      <c r="I104" s="43"/>
      <c r="J104" s="43">
        <f t="shared" si="9"/>
        <v>15000</v>
      </c>
      <c r="K104" s="10"/>
      <c r="L104" s="10"/>
      <c r="M104" s="10"/>
    </row>
    <row r="105" spans="1:13" x14ac:dyDescent="0.3">
      <c r="A105" s="6">
        <f t="shared" si="10"/>
        <v>99</v>
      </c>
      <c r="B105" s="16" t="s">
        <v>4</v>
      </c>
      <c r="C105" s="16" t="s">
        <v>341</v>
      </c>
      <c r="D105" s="14" t="s">
        <v>265</v>
      </c>
      <c r="E105" s="14" t="s">
        <v>5</v>
      </c>
      <c r="F105" s="17">
        <v>44574</v>
      </c>
      <c r="G105" s="18">
        <v>1200000</v>
      </c>
      <c r="H105" s="18">
        <f>+G105*18%</f>
        <v>216000</v>
      </c>
      <c r="I105" s="18"/>
      <c r="J105" s="18">
        <f t="shared" si="9"/>
        <v>1416000</v>
      </c>
      <c r="K105" s="10"/>
      <c r="L105" s="10"/>
      <c r="M105" s="10"/>
    </row>
    <row r="106" spans="1:13" x14ac:dyDescent="0.3">
      <c r="A106" s="6">
        <f t="shared" si="10"/>
        <v>100</v>
      </c>
      <c r="B106" s="16" t="s">
        <v>4</v>
      </c>
      <c r="C106" s="16" t="s">
        <v>341</v>
      </c>
      <c r="D106" s="14" t="s">
        <v>268</v>
      </c>
      <c r="E106" s="14" t="s">
        <v>5</v>
      </c>
      <c r="F106" s="17">
        <v>44574</v>
      </c>
      <c r="G106" s="18">
        <v>2400000</v>
      </c>
      <c r="H106" s="18">
        <f>+G106*18%</f>
        <v>432000</v>
      </c>
      <c r="I106" s="18"/>
      <c r="J106" s="18">
        <f t="shared" si="9"/>
        <v>2832000</v>
      </c>
      <c r="K106" s="10"/>
      <c r="L106" s="10"/>
      <c r="M106" s="10"/>
    </row>
    <row r="107" spans="1:13" x14ac:dyDescent="0.3">
      <c r="A107" s="6">
        <f t="shared" si="10"/>
        <v>101</v>
      </c>
      <c r="B107" s="16" t="s">
        <v>4</v>
      </c>
      <c r="C107" s="16" t="s">
        <v>341</v>
      </c>
      <c r="D107" s="14" t="s">
        <v>267</v>
      </c>
      <c r="E107" s="14" t="s">
        <v>5</v>
      </c>
      <c r="F107" s="17">
        <v>44574</v>
      </c>
      <c r="G107" s="18">
        <v>2400000</v>
      </c>
      <c r="H107" s="18">
        <f>+G107*18%</f>
        <v>432000</v>
      </c>
      <c r="I107" s="18"/>
      <c r="J107" s="18">
        <f t="shared" si="9"/>
        <v>2832000</v>
      </c>
      <c r="K107" s="10"/>
      <c r="L107" s="10"/>
      <c r="M107" s="10"/>
    </row>
    <row r="108" spans="1:13" x14ac:dyDescent="0.3">
      <c r="A108" s="6">
        <f t="shared" si="10"/>
        <v>102</v>
      </c>
      <c r="B108" s="16" t="s">
        <v>4</v>
      </c>
      <c r="C108" s="16" t="s">
        <v>341</v>
      </c>
      <c r="D108" s="14" t="s">
        <v>266</v>
      </c>
      <c r="E108" s="14" t="s">
        <v>5</v>
      </c>
      <c r="F108" s="17">
        <v>44574</v>
      </c>
      <c r="G108" s="18">
        <v>2400000</v>
      </c>
      <c r="H108" s="18">
        <f>+G108*18%</f>
        <v>432000</v>
      </c>
      <c r="I108" s="18"/>
      <c r="J108" s="18">
        <f t="shared" si="9"/>
        <v>2832000</v>
      </c>
      <c r="K108" s="10"/>
      <c r="L108" s="10"/>
      <c r="M108" s="10"/>
    </row>
    <row r="109" spans="1:13" ht="31.2" x14ac:dyDescent="0.3">
      <c r="A109" s="6">
        <f t="shared" si="10"/>
        <v>103</v>
      </c>
      <c r="B109" s="40" t="s">
        <v>284</v>
      </c>
      <c r="C109" s="40" t="s">
        <v>238</v>
      </c>
      <c r="D109" s="41" t="s">
        <v>272</v>
      </c>
      <c r="E109" s="41" t="s">
        <v>215</v>
      </c>
      <c r="F109" s="42">
        <v>44574</v>
      </c>
      <c r="G109" s="43">
        <v>15000</v>
      </c>
      <c r="H109" s="43">
        <v>0</v>
      </c>
      <c r="I109" s="43"/>
      <c r="J109" s="43">
        <f t="shared" si="9"/>
        <v>15000</v>
      </c>
      <c r="K109" s="10"/>
      <c r="L109" s="10"/>
      <c r="M109" s="10"/>
    </row>
    <row r="110" spans="1:13" ht="31.2" x14ac:dyDescent="0.3">
      <c r="A110" s="6">
        <f t="shared" si="10"/>
        <v>104</v>
      </c>
      <c r="B110" s="40" t="s">
        <v>284</v>
      </c>
      <c r="C110" s="40" t="s">
        <v>238</v>
      </c>
      <c r="D110" s="41" t="s">
        <v>273</v>
      </c>
      <c r="E110" s="41" t="s">
        <v>215</v>
      </c>
      <c r="F110" s="42">
        <v>44574</v>
      </c>
      <c r="G110" s="43">
        <v>15000</v>
      </c>
      <c r="H110" s="43">
        <v>0</v>
      </c>
      <c r="I110" s="43"/>
      <c r="J110" s="43">
        <f t="shared" si="9"/>
        <v>15000</v>
      </c>
      <c r="K110" s="10"/>
      <c r="L110" s="10"/>
      <c r="M110" s="10"/>
    </row>
    <row r="111" spans="1:13" ht="31.2" x14ac:dyDescent="0.3">
      <c r="A111" s="6">
        <f t="shared" si="10"/>
        <v>105</v>
      </c>
      <c r="B111" s="40" t="s">
        <v>284</v>
      </c>
      <c r="C111" s="40" t="s">
        <v>238</v>
      </c>
      <c r="D111" s="41" t="s">
        <v>274</v>
      </c>
      <c r="E111" s="41" t="s">
        <v>215</v>
      </c>
      <c r="F111" s="42">
        <v>44574</v>
      </c>
      <c r="G111" s="43">
        <v>15000</v>
      </c>
      <c r="H111" s="43">
        <v>0</v>
      </c>
      <c r="I111" s="43"/>
      <c r="J111" s="43">
        <f t="shared" si="9"/>
        <v>15000</v>
      </c>
      <c r="K111" s="10"/>
      <c r="L111" s="10"/>
      <c r="M111" s="10"/>
    </row>
    <row r="112" spans="1:13" ht="31.2" x14ac:dyDescent="0.3">
      <c r="A112" s="6">
        <f t="shared" si="10"/>
        <v>106</v>
      </c>
      <c r="B112" s="40" t="s">
        <v>284</v>
      </c>
      <c r="C112" s="40" t="s">
        <v>238</v>
      </c>
      <c r="D112" s="41" t="s">
        <v>282</v>
      </c>
      <c r="E112" s="41" t="s">
        <v>215</v>
      </c>
      <c r="F112" s="42">
        <v>44575</v>
      </c>
      <c r="G112" s="43">
        <v>31500</v>
      </c>
      <c r="H112" s="43">
        <v>0</v>
      </c>
      <c r="I112" s="43"/>
      <c r="J112" s="43">
        <f t="shared" si="9"/>
        <v>31500</v>
      </c>
      <c r="K112" s="10"/>
      <c r="L112" s="10"/>
      <c r="M112" s="10"/>
    </row>
    <row r="113" spans="1:13" ht="31.2" x14ac:dyDescent="0.3">
      <c r="A113" s="6">
        <f t="shared" si="10"/>
        <v>107</v>
      </c>
      <c r="B113" s="40" t="s">
        <v>284</v>
      </c>
      <c r="C113" s="40" t="s">
        <v>238</v>
      </c>
      <c r="D113" s="41" t="s">
        <v>283</v>
      </c>
      <c r="E113" s="41" t="s">
        <v>215</v>
      </c>
      <c r="F113" s="42">
        <v>44575</v>
      </c>
      <c r="G113" s="43">
        <v>31500</v>
      </c>
      <c r="H113" s="43">
        <v>0</v>
      </c>
      <c r="I113" s="43"/>
      <c r="J113" s="43">
        <f t="shared" si="9"/>
        <v>31500</v>
      </c>
      <c r="K113" s="10"/>
      <c r="L113" s="10"/>
      <c r="M113" s="10"/>
    </row>
    <row r="114" spans="1:13" ht="31.2" x14ac:dyDescent="0.3">
      <c r="A114" s="6">
        <f t="shared" si="10"/>
        <v>108</v>
      </c>
      <c r="B114" s="40" t="s">
        <v>284</v>
      </c>
      <c r="C114" s="40" t="s">
        <v>238</v>
      </c>
      <c r="D114" s="41" t="s">
        <v>322</v>
      </c>
      <c r="E114" s="41" t="s">
        <v>215</v>
      </c>
      <c r="F114" s="42">
        <v>44575</v>
      </c>
      <c r="G114" s="43">
        <v>31500</v>
      </c>
      <c r="H114" s="43">
        <v>0</v>
      </c>
      <c r="I114" s="43"/>
      <c r="J114" s="43">
        <f t="shared" si="9"/>
        <v>31500</v>
      </c>
      <c r="K114" s="10"/>
      <c r="L114" s="10"/>
      <c r="M114" s="10"/>
    </row>
    <row r="115" spans="1:13" x14ac:dyDescent="0.3">
      <c r="A115" s="6">
        <f t="shared" si="10"/>
        <v>109</v>
      </c>
      <c r="B115" s="16" t="s">
        <v>279</v>
      </c>
      <c r="C115" s="16" t="s">
        <v>278</v>
      </c>
      <c r="D115" s="14" t="s">
        <v>280</v>
      </c>
      <c r="E115" s="14" t="s">
        <v>5</v>
      </c>
      <c r="F115" s="17">
        <v>44578</v>
      </c>
      <c r="G115" s="18">
        <v>87500</v>
      </c>
      <c r="H115" s="18">
        <f t="shared" ref="H115:H120" si="11">+G115*18%</f>
        <v>15750</v>
      </c>
      <c r="I115" s="18"/>
      <c r="J115" s="18">
        <f t="shared" si="9"/>
        <v>103250</v>
      </c>
      <c r="K115" s="19"/>
      <c r="L115" s="10"/>
      <c r="M115" s="10"/>
    </row>
    <row r="116" spans="1:13" x14ac:dyDescent="0.3">
      <c r="A116" s="6">
        <f t="shared" si="10"/>
        <v>110</v>
      </c>
      <c r="B116" s="16" t="s">
        <v>302</v>
      </c>
      <c r="C116" s="16" t="s">
        <v>305</v>
      </c>
      <c r="D116" s="14" t="s">
        <v>303</v>
      </c>
      <c r="E116" s="14" t="s">
        <v>304</v>
      </c>
      <c r="F116" s="17">
        <v>44585</v>
      </c>
      <c r="G116" s="18">
        <v>347028.8</v>
      </c>
      <c r="H116" s="18">
        <f t="shared" si="11"/>
        <v>62465.183999999994</v>
      </c>
      <c r="I116" s="18"/>
      <c r="J116" s="18">
        <f t="shared" si="9"/>
        <v>409493.984</v>
      </c>
      <c r="K116" s="10"/>
      <c r="L116" s="10"/>
      <c r="M116" s="10"/>
    </row>
    <row r="117" spans="1:13" x14ac:dyDescent="0.3">
      <c r="A117" s="6">
        <f t="shared" si="10"/>
        <v>111</v>
      </c>
      <c r="B117" s="16" t="s">
        <v>4</v>
      </c>
      <c r="C117" s="16" t="s">
        <v>287</v>
      </c>
      <c r="D117" s="14" t="s">
        <v>286</v>
      </c>
      <c r="E117" s="14" t="s">
        <v>5</v>
      </c>
      <c r="F117" s="17">
        <v>44586</v>
      </c>
      <c r="G117" s="18">
        <v>5725000</v>
      </c>
      <c r="H117" s="18">
        <f t="shared" si="11"/>
        <v>1030500</v>
      </c>
      <c r="I117" s="18"/>
      <c r="J117" s="18">
        <f t="shared" si="9"/>
        <v>6755500</v>
      </c>
      <c r="K117" s="10"/>
      <c r="L117" s="10"/>
      <c r="M117" s="10"/>
    </row>
    <row r="118" spans="1:13" x14ac:dyDescent="0.3">
      <c r="A118" s="6">
        <f t="shared" si="10"/>
        <v>112</v>
      </c>
      <c r="B118" s="36" t="s">
        <v>247</v>
      </c>
      <c r="C118" s="36" t="s">
        <v>250</v>
      </c>
      <c r="D118" s="37" t="s">
        <v>318</v>
      </c>
      <c r="E118" s="37" t="s">
        <v>249</v>
      </c>
      <c r="F118" s="38">
        <v>44588</v>
      </c>
      <c r="G118" s="39">
        <v>6580.5</v>
      </c>
      <c r="H118" s="39">
        <f t="shared" si="11"/>
        <v>1184.49</v>
      </c>
      <c r="I118" s="39"/>
      <c r="J118" s="39">
        <f t="shared" si="9"/>
        <v>7764.99</v>
      </c>
      <c r="K118" s="10"/>
      <c r="L118" s="10"/>
      <c r="M118" s="10"/>
    </row>
    <row r="119" spans="1:13" x14ac:dyDescent="0.3">
      <c r="A119" s="6">
        <f t="shared" si="10"/>
        <v>113</v>
      </c>
      <c r="B119" s="36" t="s">
        <v>247</v>
      </c>
      <c r="C119" s="36" t="s">
        <v>250</v>
      </c>
      <c r="D119" s="37" t="s">
        <v>319</v>
      </c>
      <c r="E119" s="37" t="s">
        <v>249</v>
      </c>
      <c r="F119" s="38">
        <v>44588</v>
      </c>
      <c r="G119" s="39">
        <v>1089</v>
      </c>
      <c r="H119" s="39">
        <f t="shared" si="11"/>
        <v>196.01999999999998</v>
      </c>
      <c r="I119" s="39"/>
      <c r="J119" s="39">
        <f t="shared" si="9"/>
        <v>1285.02</v>
      </c>
      <c r="K119" s="10"/>
      <c r="L119" s="10"/>
      <c r="M119" s="10"/>
    </row>
    <row r="120" spans="1:13" x14ac:dyDescent="0.3">
      <c r="A120" s="6">
        <f t="shared" si="10"/>
        <v>114</v>
      </c>
      <c r="B120" s="36" t="s">
        <v>247</v>
      </c>
      <c r="C120" s="36" t="s">
        <v>250</v>
      </c>
      <c r="D120" s="37" t="s">
        <v>320</v>
      </c>
      <c r="E120" s="37" t="s">
        <v>249</v>
      </c>
      <c r="F120" s="38">
        <v>44588</v>
      </c>
      <c r="G120" s="39">
        <v>1749</v>
      </c>
      <c r="H120" s="39">
        <f t="shared" si="11"/>
        <v>314.82</v>
      </c>
      <c r="I120" s="39"/>
      <c r="J120" s="39">
        <f t="shared" si="9"/>
        <v>2063.8200000000002</v>
      </c>
      <c r="K120" s="10"/>
      <c r="L120" s="10"/>
      <c r="M120" s="10"/>
    </row>
    <row r="121" spans="1:13" x14ac:dyDescent="0.3">
      <c r="A121" s="6">
        <f t="shared" si="10"/>
        <v>115</v>
      </c>
      <c r="B121" s="40" t="s">
        <v>211</v>
      </c>
      <c r="C121" s="40" t="s">
        <v>238</v>
      </c>
      <c r="D121" s="41" t="s">
        <v>299</v>
      </c>
      <c r="E121" s="41" t="s">
        <v>216</v>
      </c>
      <c r="F121" s="42">
        <v>44588</v>
      </c>
      <c r="G121" s="43">
        <v>31500</v>
      </c>
      <c r="H121" s="43">
        <v>0</v>
      </c>
      <c r="I121" s="43"/>
      <c r="J121" s="43">
        <f t="shared" si="9"/>
        <v>31500</v>
      </c>
      <c r="K121" s="10"/>
      <c r="L121" s="10"/>
      <c r="M121" s="10"/>
    </row>
    <row r="122" spans="1:13" ht="31.2" x14ac:dyDescent="0.3">
      <c r="A122" s="6">
        <f t="shared" si="10"/>
        <v>116</v>
      </c>
      <c r="B122" s="16" t="s">
        <v>291</v>
      </c>
      <c r="C122" s="16" t="s">
        <v>294</v>
      </c>
      <c r="D122" s="14" t="s">
        <v>292</v>
      </c>
      <c r="E122" s="14" t="s">
        <v>293</v>
      </c>
      <c r="F122" s="17">
        <v>44589</v>
      </c>
      <c r="G122" s="18">
        <v>4000000</v>
      </c>
      <c r="H122" s="18">
        <f>+G122*18%</f>
        <v>720000</v>
      </c>
      <c r="I122" s="18"/>
      <c r="J122" s="18">
        <f>+G122+H122+I122</f>
        <v>4720000</v>
      </c>
      <c r="K122" s="10"/>
      <c r="L122" s="10"/>
      <c r="M122" s="10"/>
    </row>
    <row r="123" spans="1:13" ht="31.2" x14ac:dyDescent="0.3">
      <c r="A123" s="6">
        <f t="shared" si="10"/>
        <v>117</v>
      </c>
      <c r="B123" s="40" t="s">
        <v>295</v>
      </c>
      <c r="C123" s="40" t="s">
        <v>238</v>
      </c>
      <c r="D123" s="41" t="s">
        <v>297</v>
      </c>
      <c r="E123" s="41" t="s">
        <v>296</v>
      </c>
      <c r="F123" s="42">
        <v>44589</v>
      </c>
      <c r="G123" s="43">
        <v>167000</v>
      </c>
      <c r="H123" s="43">
        <v>0</v>
      </c>
      <c r="I123" s="43"/>
      <c r="J123" s="43">
        <f t="shared" si="9"/>
        <v>167000</v>
      </c>
      <c r="K123" s="10"/>
      <c r="L123" s="10"/>
      <c r="M123" s="10"/>
    </row>
    <row r="124" spans="1:13" x14ac:dyDescent="0.3">
      <c r="A124" s="6">
        <f t="shared" si="10"/>
        <v>118</v>
      </c>
      <c r="B124" s="16" t="s">
        <v>275</v>
      </c>
      <c r="C124" s="16" t="s">
        <v>278</v>
      </c>
      <c r="D124" s="14" t="s">
        <v>317</v>
      </c>
      <c r="E124" s="14" t="s">
        <v>5</v>
      </c>
      <c r="F124" s="17">
        <v>44596</v>
      </c>
      <c r="G124" s="18">
        <v>21000</v>
      </c>
      <c r="H124" s="18">
        <f>+G124*18%</f>
        <v>3780</v>
      </c>
      <c r="I124" s="18"/>
      <c r="J124" s="18">
        <f>+G124+H124+I124</f>
        <v>24780</v>
      </c>
      <c r="K124" s="19"/>
      <c r="L124" s="10"/>
      <c r="M124" s="10"/>
    </row>
    <row r="125" spans="1:13" ht="16.2" x14ac:dyDescent="0.3">
      <c r="A125" s="6"/>
      <c r="B125" s="20" t="s">
        <v>333</v>
      </c>
      <c r="C125" s="16"/>
      <c r="D125" s="14" t="s">
        <v>0</v>
      </c>
      <c r="E125" s="8" t="s">
        <v>334</v>
      </c>
      <c r="F125" s="24"/>
      <c r="G125" s="25">
        <f>SUM(G7:G124)</f>
        <v>90086592.820000008</v>
      </c>
      <c r="H125" s="25">
        <f>SUM(H7:H124)</f>
        <v>15997898.727999998</v>
      </c>
      <c r="I125" s="25">
        <f>SUM(I7:I124)</f>
        <v>0</v>
      </c>
      <c r="J125" s="25">
        <f>SUM(J7:J124)</f>
        <v>105534990.54799998</v>
      </c>
      <c r="K125" s="19"/>
      <c r="L125" s="10"/>
      <c r="M125" s="10"/>
    </row>
  </sheetData>
  <sortState xmlns:xlrd2="http://schemas.microsoft.com/office/spreadsheetml/2017/richdata2" ref="A7:K125">
    <sortCondition ref="F6:F125"/>
  </sortState>
  <mergeCells count="3">
    <mergeCell ref="A1:J1"/>
    <mergeCell ref="A2:J2"/>
    <mergeCell ref="A3:J3"/>
  </mergeCells>
  <printOptions horizontalCentered="1" verticalCentered="1"/>
  <pageMargins left="0" right="0" top="0" bottom="0" header="0" footer="0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5"/>
  <sheetViews>
    <sheetView view="pageBreakPreview" topLeftCell="A86" zoomScale="93" zoomScaleNormal="86" zoomScaleSheetLayoutView="93" workbookViewId="0">
      <selection activeCell="A93" sqref="A93"/>
    </sheetView>
  </sheetViews>
  <sheetFormatPr defaultColWidth="9.109375" defaultRowHeight="14.4" x14ac:dyDescent="0.3"/>
  <cols>
    <col min="1" max="1" width="8.109375" style="3" bestFit="1" customWidth="1"/>
    <col min="2" max="2" width="48" style="26" customWidth="1"/>
    <col min="3" max="3" width="29.33203125" style="26" customWidth="1"/>
    <col min="4" max="4" width="22.5546875" style="3" bestFit="1" customWidth="1"/>
    <col min="5" max="5" width="17.33203125" style="1" bestFit="1" customWidth="1"/>
    <col min="6" max="6" width="17.109375" style="33" bestFit="1" customWidth="1"/>
    <col min="7" max="7" width="15.33203125" style="33" bestFit="1" customWidth="1"/>
    <col min="8" max="8" width="20.109375" style="33" customWidth="1"/>
    <col min="9" max="9" width="17.109375" style="33" bestFit="1" customWidth="1"/>
    <col min="10" max="10" width="15.33203125" style="2" bestFit="1" customWidth="1"/>
    <col min="11" max="16384" width="9.109375" style="2"/>
  </cols>
  <sheetData>
    <row r="1" spans="1:9" ht="18" x14ac:dyDescent="0.3">
      <c r="A1" s="76" t="s">
        <v>335</v>
      </c>
      <c r="B1" s="76"/>
      <c r="C1" s="76"/>
      <c r="D1" s="76"/>
      <c r="E1" s="76"/>
      <c r="F1" s="76"/>
      <c r="G1" s="76"/>
      <c r="H1" s="76"/>
      <c r="I1" s="76"/>
    </row>
    <row r="2" spans="1:9" ht="18" x14ac:dyDescent="0.3">
      <c r="A2" s="76" t="s">
        <v>336</v>
      </c>
      <c r="B2" s="76"/>
      <c r="C2" s="76"/>
      <c r="D2" s="76"/>
      <c r="E2" s="76"/>
      <c r="F2" s="76"/>
      <c r="G2" s="76"/>
      <c r="H2" s="76"/>
      <c r="I2" s="76"/>
    </row>
    <row r="3" spans="1:9" ht="18" x14ac:dyDescent="0.3">
      <c r="A3" s="76" t="s">
        <v>338</v>
      </c>
      <c r="B3" s="76"/>
      <c r="C3" s="76"/>
      <c r="D3" s="76"/>
      <c r="E3" s="76"/>
      <c r="F3" s="76"/>
      <c r="G3" s="76"/>
      <c r="H3" s="76"/>
      <c r="I3" s="76"/>
    </row>
    <row r="4" spans="1:9" ht="18" x14ac:dyDescent="0.3">
      <c r="A4" s="27"/>
      <c r="B4" s="34"/>
      <c r="C4" s="34"/>
      <c r="D4" s="27"/>
      <c r="E4" s="27"/>
      <c r="F4" s="29"/>
      <c r="G4" s="29"/>
      <c r="H4" s="29"/>
      <c r="I4" s="29"/>
    </row>
    <row r="5" spans="1:9" ht="46.8" x14ac:dyDescent="0.3">
      <c r="A5" s="7" t="s">
        <v>324</v>
      </c>
      <c r="B5" s="7" t="s">
        <v>325</v>
      </c>
      <c r="C5" s="7" t="s">
        <v>339</v>
      </c>
      <c r="D5" s="7" t="s">
        <v>327</v>
      </c>
      <c r="E5" s="7" t="s">
        <v>328</v>
      </c>
      <c r="F5" s="9" t="s">
        <v>329</v>
      </c>
      <c r="G5" s="9" t="s">
        <v>330</v>
      </c>
      <c r="H5" s="9" t="s">
        <v>331</v>
      </c>
      <c r="I5" s="9" t="s">
        <v>332</v>
      </c>
    </row>
    <row r="6" spans="1:9" ht="15.6" x14ac:dyDescent="0.3">
      <c r="A6" s="6">
        <v>0</v>
      </c>
      <c r="B6" s="6"/>
      <c r="C6" s="6"/>
      <c r="D6" s="6"/>
      <c r="E6" s="6"/>
      <c r="F6" s="30"/>
      <c r="G6" s="30"/>
      <c r="H6" s="30"/>
      <c r="I6" s="30"/>
    </row>
    <row r="7" spans="1:9" ht="15.6" x14ac:dyDescent="0.3">
      <c r="A7" s="28">
        <f t="shared" ref="A7:A38" si="0">A6+1</f>
        <v>1</v>
      </c>
      <c r="B7" s="16" t="s">
        <v>100</v>
      </c>
      <c r="C7" s="16" t="s">
        <v>102</v>
      </c>
      <c r="D7" s="4" t="s">
        <v>101</v>
      </c>
      <c r="E7" s="5">
        <v>43836</v>
      </c>
      <c r="F7" s="31">
        <v>430108.5</v>
      </c>
      <c r="G7" s="31">
        <f>+F7*18%</f>
        <v>77419.53</v>
      </c>
      <c r="H7" s="31"/>
      <c r="I7" s="31">
        <f t="shared" ref="I7:I28" si="1">+F7+G7+H7</f>
        <v>507528.03</v>
      </c>
    </row>
    <row r="8" spans="1:9" ht="15.6" x14ac:dyDescent="0.3">
      <c r="A8" s="28">
        <f t="shared" si="0"/>
        <v>2</v>
      </c>
      <c r="B8" s="16" t="s">
        <v>138</v>
      </c>
      <c r="C8" s="16" t="s">
        <v>140</v>
      </c>
      <c r="D8" s="4" t="s">
        <v>139</v>
      </c>
      <c r="E8" s="5">
        <v>44144</v>
      </c>
      <c r="F8" s="31">
        <v>175078</v>
      </c>
      <c r="G8" s="31">
        <f>+F8*28%</f>
        <v>49021.840000000004</v>
      </c>
      <c r="H8" s="31"/>
      <c r="I8" s="31">
        <f t="shared" si="1"/>
        <v>224099.84</v>
      </c>
    </row>
    <row r="9" spans="1:9" ht="15.6" x14ac:dyDescent="0.3">
      <c r="A9" s="28">
        <f t="shared" si="0"/>
        <v>3</v>
      </c>
      <c r="B9" s="16" t="s">
        <v>141</v>
      </c>
      <c r="C9" s="16" t="s">
        <v>157</v>
      </c>
      <c r="D9" s="4" t="s">
        <v>142</v>
      </c>
      <c r="E9" s="5">
        <v>44172</v>
      </c>
      <c r="F9" s="31">
        <v>80952</v>
      </c>
      <c r="G9" s="31">
        <f>+F9*5%</f>
        <v>4047.6000000000004</v>
      </c>
      <c r="H9" s="31"/>
      <c r="I9" s="31">
        <f t="shared" si="1"/>
        <v>84999.6</v>
      </c>
    </row>
    <row r="10" spans="1:9" ht="15.6" x14ac:dyDescent="0.3">
      <c r="A10" s="28">
        <f t="shared" si="0"/>
        <v>4</v>
      </c>
      <c r="B10" s="16" t="s">
        <v>138</v>
      </c>
      <c r="C10" s="16" t="s">
        <v>140</v>
      </c>
      <c r="D10" s="4" t="s">
        <v>143</v>
      </c>
      <c r="E10" s="5">
        <v>44175</v>
      </c>
      <c r="F10" s="31">
        <v>200156</v>
      </c>
      <c r="G10" s="31">
        <f>+F10*28%</f>
        <v>56043.680000000008</v>
      </c>
      <c r="H10" s="31"/>
      <c r="I10" s="31">
        <f t="shared" si="1"/>
        <v>256199.67999999999</v>
      </c>
    </row>
    <row r="11" spans="1:9" ht="15.6" x14ac:dyDescent="0.3">
      <c r="A11" s="28">
        <f t="shared" si="0"/>
        <v>5</v>
      </c>
      <c r="B11" s="16" t="s">
        <v>141</v>
      </c>
      <c r="C11" s="16" t="s">
        <v>157</v>
      </c>
      <c r="D11" s="4" t="s">
        <v>144</v>
      </c>
      <c r="E11" s="5">
        <v>44181</v>
      </c>
      <c r="F11" s="31">
        <v>117809.5</v>
      </c>
      <c r="G11" s="31">
        <f>+F11*5%</f>
        <v>5890.4750000000004</v>
      </c>
      <c r="H11" s="31"/>
      <c r="I11" s="31">
        <f t="shared" si="1"/>
        <v>123699.97500000001</v>
      </c>
    </row>
    <row r="12" spans="1:9" ht="15.6" x14ac:dyDescent="0.3">
      <c r="A12" s="28">
        <f t="shared" si="0"/>
        <v>6</v>
      </c>
      <c r="B12" s="16" t="s">
        <v>107</v>
      </c>
      <c r="C12" s="16" t="s">
        <v>109</v>
      </c>
      <c r="D12" s="4" t="s">
        <v>108</v>
      </c>
      <c r="E12" s="5">
        <v>44187</v>
      </c>
      <c r="F12" s="31">
        <v>180000</v>
      </c>
      <c r="G12" s="31">
        <f>+F12*18%</f>
        <v>32400</v>
      </c>
      <c r="H12" s="31"/>
      <c r="I12" s="31">
        <f t="shared" si="1"/>
        <v>212400</v>
      </c>
    </row>
    <row r="13" spans="1:9" ht="15.6" x14ac:dyDescent="0.3">
      <c r="A13" s="28">
        <f t="shared" si="0"/>
        <v>7</v>
      </c>
      <c r="B13" s="16" t="s">
        <v>141</v>
      </c>
      <c r="C13" s="16" t="s">
        <v>157</v>
      </c>
      <c r="D13" s="4" t="s">
        <v>148</v>
      </c>
      <c r="E13" s="5">
        <v>44201</v>
      </c>
      <c r="F13" s="31">
        <v>306666.5</v>
      </c>
      <c r="G13" s="31">
        <f>+F13*5%</f>
        <v>15333.325000000001</v>
      </c>
      <c r="H13" s="31"/>
      <c r="I13" s="31">
        <f t="shared" si="1"/>
        <v>321999.82500000001</v>
      </c>
    </row>
    <row r="14" spans="1:9" ht="15.6" x14ac:dyDescent="0.3">
      <c r="A14" s="28">
        <f t="shared" si="0"/>
        <v>8</v>
      </c>
      <c r="B14" s="16" t="s">
        <v>138</v>
      </c>
      <c r="C14" s="16" t="s">
        <v>140</v>
      </c>
      <c r="D14" s="4" t="s">
        <v>149</v>
      </c>
      <c r="E14" s="5">
        <v>44205</v>
      </c>
      <c r="F14" s="31">
        <v>188047</v>
      </c>
      <c r="G14" s="31">
        <f>+F14*28%</f>
        <v>52653.16</v>
      </c>
      <c r="H14" s="31"/>
      <c r="I14" s="31">
        <f t="shared" si="1"/>
        <v>240700.16</v>
      </c>
    </row>
    <row r="15" spans="1:9" ht="31.2" x14ac:dyDescent="0.3">
      <c r="A15" s="28">
        <f t="shared" si="0"/>
        <v>9</v>
      </c>
      <c r="B15" s="16" t="s">
        <v>150</v>
      </c>
      <c r="C15" s="16" t="s">
        <v>137</v>
      </c>
      <c r="D15" s="4" t="s">
        <v>151</v>
      </c>
      <c r="E15" s="5">
        <v>44224</v>
      </c>
      <c r="F15" s="31">
        <v>469609</v>
      </c>
      <c r="G15" s="31">
        <f>+F15*18%</f>
        <v>84529.62</v>
      </c>
      <c r="H15" s="31"/>
      <c r="I15" s="31">
        <f t="shared" si="1"/>
        <v>554138.62</v>
      </c>
    </row>
    <row r="16" spans="1:9" ht="15.6" x14ac:dyDescent="0.3">
      <c r="A16" s="28">
        <f t="shared" si="0"/>
        <v>10</v>
      </c>
      <c r="B16" s="16" t="s">
        <v>100</v>
      </c>
      <c r="C16" s="16" t="s">
        <v>102</v>
      </c>
      <c r="D16" s="4" t="s">
        <v>103</v>
      </c>
      <c r="E16" s="5">
        <v>44229</v>
      </c>
      <c r="F16" s="31">
        <v>423728.5</v>
      </c>
      <c r="G16" s="31">
        <f>+F16*18%</f>
        <v>76271.12999999999</v>
      </c>
      <c r="H16" s="31"/>
      <c r="I16" s="31">
        <f t="shared" si="1"/>
        <v>499999.63</v>
      </c>
    </row>
    <row r="17" spans="1:9" ht="15.6" x14ac:dyDescent="0.3">
      <c r="A17" s="28">
        <f t="shared" si="0"/>
        <v>11</v>
      </c>
      <c r="B17" s="16" t="s">
        <v>100</v>
      </c>
      <c r="C17" s="16" t="s">
        <v>102</v>
      </c>
      <c r="D17" s="4" t="s">
        <v>104</v>
      </c>
      <c r="E17" s="5">
        <v>44230</v>
      </c>
      <c r="F17" s="31">
        <v>409310</v>
      </c>
      <c r="G17" s="31">
        <f>+F17*18%</f>
        <v>73675.8</v>
      </c>
      <c r="H17" s="31"/>
      <c r="I17" s="31">
        <f t="shared" si="1"/>
        <v>482985.8</v>
      </c>
    </row>
    <row r="18" spans="1:9" ht="15.6" x14ac:dyDescent="0.3">
      <c r="A18" s="28">
        <f t="shared" si="0"/>
        <v>12</v>
      </c>
      <c r="B18" s="16" t="s">
        <v>100</v>
      </c>
      <c r="C18" s="16" t="s">
        <v>102</v>
      </c>
      <c r="D18" s="4" t="s">
        <v>105</v>
      </c>
      <c r="E18" s="5">
        <v>44242</v>
      </c>
      <c r="F18" s="31">
        <v>255862.85</v>
      </c>
      <c r="G18" s="31">
        <f>+F18*18%</f>
        <v>46055.313000000002</v>
      </c>
      <c r="H18" s="31"/>
      <c r="I18" s="31">
        <f t="shared" si="1"/>
        <v>301918.163</v>
      </c>
    </row>
    <row r="19" spans="1:9" ht="15.6" x14ac:dyDescent="0.3">
      <c r="A19" s="28">
        <f t="shared" si="0"/>
        <v>13</v>
      </c>
      <c r="B19" s="16" t="s">
        <v>154</v>
      </c>
      <c r="C19" s="16" t="s">
        <v>140</v>
      </c>
      <c r="D19" s="4" t="s">
        <v>155</v>
      </c>
      <c r="E19" s="5">
        <v>44251</v>
      </c>
      <c r="F19" s="31">
        <v>158594</v>
      </c>
      <c r="G19" s="31">
        <f>+F19*28%</f>
        <v>44406.320000000007</v>
      </c>
      <c r="H19" s="31"/>
      <c r="I19" s="31">
        <f t="shared" si="1"/>
        <v>203000.32000000001</v>
      </c>
    </row>
    <row r="20" spans="1:9" ht="15.6" x14ac:dyDescent="0.3">
      <c r="A20" s="28">
        <f t="shared" si="0"/>
        <v>14</v>
      </c>
      <c r="B20" s="16" t="s">
        <v>107</v>
      </c>
      <c r="C20" s="16" t="s">
        <v>109</v>
      </c>
      <c r="D20" s="4" t="s">
        <v>110</v>
      </c>
      <c r="E20" s="5">
        <v>44253</v>
      </c>
      <c r="F20" s="31">
        <v>1140900</v>
      </c>
      <c r="G20" s="31">
        <f>+F20*18%</f>
        <v>205362</v>
      </c>
      <c r="H20" s="31">
        <v>1010</v>
      </c>
      <c r="I20" s="31">
        <f t="shared" si="1"/>
        <v>1347272</v>
      </c>
    </row>
    <row r="21" spans="1:9" ht="15.6" x14ac:dyDescent="0.3">
      <c r="A21" s="28">
        <f t="shared" si="0"/>
        <v>15</v>
      </c>
      <c r="B21" s="16" t="s">
        <v>107</v>
      </c>
      <c r="C21" s="16" t="s">
        <v>109</v>
      </c>
      <c r="D21" s="4" t="s">
        <v>111</v>
      </c>
      <c r="E21" s="5">
        <v>44254</v>
      </c>
      <c r="F21" s="31">
        <v>985000</v>
      </c>
      <c r="G21" s="31">
        <f>+F21*18%</f>
        <v>177300</v>
      </c>
      <c r="H21" s="31">
        <v>872</v>
      </c>
      <c r="I21" s="31">
        <f t="shared" si="1"/>
        <v>1163172</v>
      </c>
    </row>
    <row r="22" spans="1:9" ht="15.6" x14ac:dyDescent="0.3">
      <c r="A22" s="28">
        <f t="shared" si="0"/>
        <v>16</v>
      </c>
      <c r="B22" s="16" t="s">
        <v>152</v>
      </c>
      <c r="C22" s="16" t="s">
        <v>146</v>
      </c>
      <c r="D22" s="4" t="s">
        <v>153</v>
      </c>
      <c r="E22" s="5">
        <v>44255</v>
      </c>
      <c r="F22" s="31">
        <v>156000</v>
      </c>
      <c r="G22" s="31">
        <v>0</v>
      </c>
      <c r="H22" s="31"/>
      <c r="I22" s="31">
        <f t="shared" si="1"/>
        <v>156000</v>
      </c>
    </row>
    <row r="23" spans="1:9" ht="15.6" x14ac:dyDescent="0.3">
      <c r="A23" s="28">
        <f t="shared" si="0"/>
        <v>17</v>
      </c>
      <c r="B23" s="16" t="s">
        <v>100</v>
      </c>
      <c r="C23" s="16" t="s">
        <v>102</v>
      </c>
      <c r="D23" s="4" t="s">
        <v>106</v>
      </c>
      <c r="E23" s="5">
        <v>44257</v>
      </c>
      <c r="F23" s="31">
        <v>341525.42</v>
      </c>
      <c r="G23" s="31">
        <f>+F23*18%</f>
        <v>61474.575599999996</v>
      </c>
      <c r="H23" s="31"/>
      <c r="I23" s="31">
        <f t="shared" si="1"/>
        <v>402999.99559999997</v>
      </c>
    </row>
    <row r="24" spans="1:9" ht="15.6" x14ac:dyDescent="0.3">
      <c r="A24" s="28">
        <f t="shared" si="0"/>
        <v>18</v>
      </c>
      <c r="B24" s="16" t="s">
        <v>107</v>
      </c>
      <c r="C24" s="16" t="s">
        <v>109</v>
      </c>
      <c r="D24" s="4" t="s">
        <v>112</v>
      </c>
      <c r="E24" s="5">
        <v>44260</v>
      </c>
      <c r="F24" s="31">
        <v>1780000</v>
      </c>
      <c r="G24" s="31">
        <f>+F24*18%</f>
        <v>320400</v>
      </c>
      <c r="H24" s="31">
        <v>1575</v>
      </c>
      <c r="I24" s="31">
        <f t="shared" si="1"/>
        <v>2101975</v>
      </c>
    </row>
    <row r="25" spans="1:9" ht="15.6" x14ac:dyDescent="0.3">
      <c r="A25" s="28">
        <f t="shared" si="0"/>
        <v>19</v>
      </c>
      <c r="B25" s="16" t="s">
        <v>107</v>
      </c>
      <c r="C25" s="16" t="s">
        <v>109</v>
      </c>
      <c r="D25" s="4" t="s">
        <v>113</v>
      </c>
      <c r="E25" s="5">
        <v>44270</v>
      </c>
      <c r="F25" s="31">
        <v>985700</v>
      </c>
      <c r="G25" s="31">
        <f>+F25*18%</f>
        <v>177426</v>
      </c>
      <c r="H25" s="31">
        <v>872</v>
      </c>
      <c r="I25" s="31">
        <f t="shared" si="1"/>
        <v>1163998</v>
      </c>
    </row>
    <row r="26" spans="1:9" ht="15.6" x14ac:dyDescent="0.3">
      <c r="A26" s="28">
        <f t="shared" si="0"/>
        <v>20</v>
      </c>
      <c r="B26" s="16" t="s">
        <v>107</v>
      </c>
      <c r="C26" s="16" t="s">
        <v>109</v>
      </c>
      <c r="D26" s="4" t="s">
        <v>114</v>
      </c>
      <c r="E26" s="5">
        <v>44276</v>
      </c>
      <c r="F26" s="31">
        <v>1040700</v>
      </c>
      <c r="G26" s="31">
        <f>+F26*18%</f>
        <v>187326</v>
      </c>
      <c r="H26" s="31">
        <v>921</v>
      </c>
      <c r="I26" s="31">
        <f t="shared" si="1"/>
        <v>1228947</v>
      </c>
    </row>
    <row r="27" spans="1:9" ht="15.6" x14ac:dyDescent="0.3">
      <c r="A27" s="28">
        <f t="shared" si="0"/>
        <v>21</v>
      </c>
      <c r="B27" s="16" t="s">
        <v>141</v>
      </c>
      <c r="C27" s="16" t="s">
        <v>157</v>
      </c>
      <c r="D27" s="4" t="s">
        <v>156</v>
      </c>
      <c r="E27" s="5">
        <v>44277</v>
      </c>
      <c r="F27" s="31">
        <v>190476</v>
      </c>
      <c r="G27" s="31">
        <f>+F27*5%</f>
        <v>9523.8000000000011</v>
      </c>
      <c r="H27" s="31"/>
      <c r="I27" s="31">
        <f t="shared" si="1"/>
        <v>199999.8</v>
      </c>
    </row>
    <row r="28" spans="1:9" ht="15.6" x14ac:dyDescent="0.3">
      <c r="A28" s="28">
        <f t="shared" si="0"/>
        <v>22</v>
      </c>
      <c r="B28" s="16" t="s">
        <v>107</v>
      </c>
      <c r="C28" s="16" t="s">
        <v>109</v>
      </c>
      <c r="D28" s="4" t="s">
        <v>115</v>
      </c>
      <c r="E28" s="5">
        <v>44279</v>
      </c>
      <c r="F28" s="31">
        <v>710400</v>
      </c>
      <c r="G28" s="31">
        <f t="shared" ref="G28:G40" si="2">+F28*18%</f>
        <v>127872</v>
      </c>
      <c r="H28" s="31">
        <v>629</v>
      </c>
      <c r="I28" s="31">
        <f t="shared" si="1"/>
        <v>838901</v>
      </c>
    </row>
    <row r="29" spans="1:9" ht="15.6" x14ac:dyDescent="0.3">
      <c r="A29" s="28">
        <f t="shared" si="0"/>
        <v>23</v>
      </c>
      <c r="B29" s="16" t="s">
        <v>100</v>
      </c>
      <c r="C29" s="16" t="s">
        <v>102</v>
      </c>
      <c r="D29" s="4" t="s">
        <v>116</v>
      </c>
      <c r="E29" s="5">
        <v>44291</v>
      </c>
      <c r="F29" s="31">
        <v>341879.7</v>
      </c>
      <c r="G29" s="31">
        <f t="shared" si="2"/>
        <v>61538.345999999998</v>
      </c>
      <c r="H29" s="31"/>
      <c r="I29" s="31">
        <f>+F29+G29+H29-15494</f>
        <v>387924.04600000003</v>
      </c>
    </row>
    <row r="30" spans="1:9" ht="15.6" x14ac:dyDescent="0.3">
      <c r="A30" s="28">
        <f t="shared" si="0"/>
        <v>24</v>
      </c>
      <c r="B30" s="16" t="s">
        <v>107</v>
      </c>
      <c r="C30" s="16" t="s">
        <v>109</v>
      </c>
      <c r="D30" s="4" t="s">
        <v>117</v>
      </c>
      <c r="E30" s="5">
        <v>44299</v>
      </c>
      <c r="F30" s="31">
        <v>950800</v>
      </c>
      <c r="G30" s="31">
        <f t="shared" si="2"/>
        <v>171144</v>
      </c>
      <c r="H30" s="31">
        <v>841</v>
      </c>
      <c r="I30" s="31">
        <f t="shared" ref="I30:I61" si="3">+F30+G30+H30</f>
        <v>1122785</v>
      </c>
    </row>
    <row r="31" spans="1:9" ht="15.6" x14ac:dyDescent="0.3">
      <c r="A31" s="28">
        <f t="shared" si="0"/>
        <v>25</v>
      </c>
      <c r="B31" s="16" t="s">
        <v>107</v>
      </c>
      <c r="C31" s="16" t="s">
        <v>109</v>
      </c>
      <c r="D31" s="4" t="s">
        <v>118</v>
      </c>
      <c r="E31" s="5">
        <v>44341</v>
      </c>
      <c r="F31" s="31">
        <v>2150700</v>
      </c>
      <c r="G31" s="31">
        <f t="shared" si="2"/>
        <v>387126</v>
      </c>
      <c r="H31" s="31">
        <v>1903</v>
      </c>
      <c r="I31" s="31">
        <f t="shared" si="3"/>
        <v>2539729</v>
      </c>
    </row>
    <row r="32" spans="1:9" ht="15.6" x14ac:dyDescent="0.3">
      <c r="A32" s="28">
        <f t="shared" si="0"/>
        <v>26</v>
      </c>
      <c r="B32" s="16" t="s">
        <v>123</v>
      </c>
      <c r="C32" s="16" t="s">
        <v>125</v>
      </c>
      <c r="D32" s="4" t="s">
        <v>126</v>
      </c>
      <c r="E32" s="5">
        <v>44343</v>
      </c>
      <c r="F32" s="31">
        <v>64800</v>
      </c>
      <c r="G32" s="31">
        <f t="shared" si="2"/>
        <v>11664</v>
      </c>
      <c r="H32" s="31"/>
      <c r="I32" s="31">
        <f t="shared" si="3"/>
        <v>76464</v>
      </c>
    </row>
    <row r="33" spans="1:9" ht="15.6" x14ac:dyDescent="0.3">
      <c r="A33" s="28">
        <f t="shared" si="0"/>
        <v>27</v>
      </c>
      <c r="B33" s="16" t="s">
        <v>107</v>
      </c>
      <c r="C33" s="16" t="s">
        <v>109</v>
      </c>
      <c r="D33" s="4" t="s">
        <v>119</v>
      </c>
      <c r="E33" s="5">
        <v>44344</v>
      </c>
      <c r="F33" s="31">
        <v>2200000</v>
      </c>
      <c r="G33" s="31">
        <f t="shared" si="2"/>
        <v>396000</v>
      </c>
      <c r="H33" s="31">
        <v>1947</v>
      </c>
      <c r="I33" s="31">
        <f t="shared" si="3"/>
        <v>2597947</v>
      </c>
    </row>
    <row r="34" spans="1:9" ht="15.6" x14ac:dyDescent="0.3">
      <c r="A34" s="28">
        <f t="shared" si="0"/>
        <v>28</v>
      </c>
      <c r="B34" s="16" t="s">
        <v>107</v>
      </c>
      <c r="C34" s="16" t="s">
        <v>109</v>
      </c>
      <c r="D34" s="4" t="s">
        <v>120</v>
      </c>
      <c r="E34" s="5">
        <v>44350</v>
      </c>
      <c r="F34" s="31">
        <v>981500</v>
      </c>
      <c r="G34" s="31">
        <f t="shared" si="2"/>
        <v>176670</v>
      </c>
      <c r="H34" s="31">
        <v>868</v>
      </c>
      <c r="I34" s="31">
        <f t="shared" si="3"/>
        <v>1159038</v>
      </c>
    </row>
    <row r="35" spans="1:9" ht="15.6" x14ac:dyDescent="0.3">
      <c r="A35" s="28">
        <f t="shared" si="0"/>
        <v>29</v>
      </c>
      <c r="B35" s="16" t="s">
        <v>107</v>
      </c>
      <c r="C35" s="16" t="s">
        <v>109</v>
      </c>
      <c r="D35" s="4" t="s">
        <v>121</v>
      </c>
      <c r="E35" s="5">
        <v>44356</v>
      </c>
      <c r="F35" s="31">
        <v>510000</v>
      </c>
      <c r="G35" s="31">
        <f t="shared" si="2"/>
        <v>91800</v>
      </c>
      <c r="H35" s="31">
        <v>451</v>
      </c>
      <c r="I35" s="31">
        <f t="shared" si="3"/>
        <v>602251</v>
      </c>
    </row>
    <row r="36" spans="1:9" ht="15.6" x14ac:dyDescent="0.3">
      <c r="A36" s="28">
        <f t="shared" si="0"/>
        <v>30</v>
      </c>
      <c r="B36" s="16" t="s">
        <v>158</v>
      </c>
      <c r="C36" s="16" t="s">
        <v>162</v>
      </c>
      <c r="D36" s="4" t="s">
        <v>159</v>
      </c>
      <c r="E36" s="5">
        <v>44357</v>
      </c>
      <c r="F36" s="31">
        <f>152282+1247</f>
        <v>153529</v>
      </c>
      <c r="G36" s="31">
        <f t="shared" si="2"/>
        <v>27635.219999999998</v>
      </c>
      <c r="H36" s="31"/>
      <c r="I36" s="31">
        <f t="shared" si="3"/>
        <v>181164.22</v>
      </c>
    </row>
    <row r="37" spans="1:9" ht="15.6" x14ac:dyDescent="0.3">
      <c r="A37" s="28">
        <f t="shared" si="0"/>
        <v>31</v>
      </c>
      <c r="B37" s="16" t="s">
        <v>158</v>
      </c>
      <c r="C37" s="16" t="s">
        <v>181</v>
      </c>
      <c r="D37" s="4" t="s">
        <v>160</v>
      </c>
      <c r="E37" s="5">
        <v>44357</v>
      </c>
      <c r="F37" s="31">
        <v>2966</v>
      </c>
      <c r="G37" s="31">
        <f t="shared" si="2"/>
        <v>533.88</v>
      </c>
      <c r="H37" s="31"/>
      <c r="I37" s="31">
        <f t="shared" si="3"/>
        <v>3499.88</v>
      </c>
    </row>
    <row r="38" spans="1:9" ht="15.6" x14ac:dyDescent="0.3">
      <c r="A38" s="28">
        <f t="shared" si="0"/>
        <v>32</v>
      </c>
      <c r="B38" s="16" t="s">
        <v>107</v>
      </c>
      <c r="C38" s="16" t="s">
        <v>109</v>
      </c>
      <c r="D38" s="4" t="s">
        <v>122</v>
      </c>
      <c r="E38" s="5">
        <v>44361</v>
      </c>
      <c r="F38" s="31">
        <v>810000</v>
      </c>
      <c r="G38" s="31">
        <f t="shared" si="2"/>
        <v>145800</v>
      </c>
      <c r="H38" s="31">
        <v>716</v>
      </c>
      <c r="I38" s="31">
        <f t="shared" si="3"/>
        <v>956516</v>
      </c>
    </row>
    <row r="39" spans="1:9" ht="15.6" x14ac:dyDescent="0.3">
      <c r="A39" s="28">
        <f t="shared" ref="A39:A70" si="4">A38+1</f>
        <v>33</v>
      </c>
      <c r="B39" s="16" t="s">
        <v>123</v>
      </c>
      <c r="C39" s="16" t="s">
        <v>125</v>
      </c>
      <c r="D39" s="4" t="s">
        <v>124</v>
      </c>
      <c r="E39" s="5">
        <v>44361</v>
      </c>
      <c r="F39" s="31">
        <v>33900</v>
      </c>
      <c r="G39" s="31">
        <f t="shared" si="2"/>
        <v>6102</v>
      </c>
      <c r="H39" s="31"/>
      <c r="I39" s="31">
        <f t="shared" si="3"/>
        <v>40002</v>
      </c>
    </row>
    <row r="40" spans="1:9" ht="15.6" x14ac:dyDescent="0.3">
      <c r="A40" s="28">
        <f t="shared" si="4"/>
        <v>34</v>
      </c>
      <c r="B40" s="16" t="s">
        <v>158</v>
      </c>
      <c r="C40" s="16" t="s">
        <v>162</v>
      </c>
      <c r="D40" s="4" t="s">
        <v>161</v>
      </c>
      <c r="E40" s="5">
        <v>44361</v>
      </c>
      <c r="F40" s="31">
        <f>62505+644</f>
        <v>63149</v>
      </c>
      <c r="G40" s="31">
        <f t="shared" si="2"/>
        <v>11366.82</v>
      </c>
      <c r="H40" s="31"/>
      <c r="I40" s="31">
        <f t="shared" si="3"/>
        <v>74515.820000000007</v>
      </c>
    </row>
    <row r="41" spans="1:9" ht="15.6" x14ac:dyDescent="0.3">
      <c r="A41" s="28">
        <f t="shared" si="4"/>
        <v>35</v>
      </c>
      <c r="B41" s="16" t="s">
        <v>138</v>
      </c>
      <c r="C41" s="16" t="s">
        <v>140</v>
      </c>
      <c r="D41" s="4" t="s">
        <v>163</v>
      </c>
      <c r="E41" s="5">
        <v>44364</v>
      </c>
      <c r="F41" s="31">
        <v>197656</v>
      </c>
      <c r="G41" s="31">
        <f>+F41*28%</f>
        <v>55343.680000000008</v>
      </c>
      <c r="H41" s="31"/>
      <c r="I41" s="31">
        <f t="shared" si="3"/>
        <v>252999.67999999999</v>
      </c>
    </row>
    <row r="42" spans="1:9" ht="15.6" x14ac:dyDescent="0.3">
      <c r="A42" s="28">
        <f t="shared" si="4"/>
        <v>36</v>
      </c>
      <c r="B42" s="16" t="s">
        <v>158</v>
      </c>
      <c r="C42" s="16" t="s">
        <v>180</v>
      </c>
      <c r="D42" s="4" t="s">
        <v>164</v>
      </c>
      <c r="E42" s="5">
        <v>44366</v>
      </c>
      <c r="F42" s="31">
        <f>9918+336</f>
        <v>10254</v>
      </c>
      <c r="G42" s="31">
        <f t="shared" ref="G42:G53" si="5">+F42*18%</f>
        <v>1845.72</v>
      </c>
      <c r="H42" s="31"/>
      <c r="I42" s="31">
        <f t="shared" si="3"/>
        <v>12099.72</v>
      </c>
    </row>
    <row r="43" spans="1:9" ht="15.6" x14ac:dyDescent="0.3">
      <c r="A43" s="28">
        <f t="shared" si="4"/>
        <v>37</v>
      </c>
      <c r="B43" s="16" t="s">
        <v>158</v>
      </c>
      <c r="C43" s="16" t="s">
        <v>162</v>
      </c>
      <c r="D43" s="4" t="s">
        <v>134</v>
      </c>
      <c r="E43" s="5">
        <v>44378</v>
      </c>
      <c r="F43" s="31">
        <f>128713+1378</f>
        <v>130091</v>
      </c>
      <c r="G43" s="31">
        <f t="shared" si="5"/>
        <v>23416.379999999997</v>
      </c>
      <c r="H43" s="31"/>
      <c r="I43" s="31">
        <f t="shared" si="3"/>
        <v>153507.38</v>
      </c>
    </row>
    <row r="44" spans="1:9" ht="15.6" x14ac:dyDescent="0.3">
      <c r="A44" s="28">
        <f t="shared" si="4"/>
        <v>38</v>
      </c>
      <c r="B44" s="16" t="s">
        <v>107</v>
      </c>
      <c r="C44" s="16" t="s">
        <v>109</v>
      </c>
      <c r="D44" s="4" t="s">
        <v>127</v>
      </c>
      <c r="E44" s="5">
        <v>44384</v>
      </c>
      <c r="F44" s="31">
        <v>710000</v>
      </c>
      <c r="G44" s="31">
        <f t="shared" si="5"/>
        <v>127800</v>
      </c>
      <c r="H44" s="31">
        <v>837</v>
      </c>
      <c r="I44" s="31">
        <f t="shared" si="3"/>
        <v>838637</v>
      </c>
    </row>
    <row r="45" spans="1:9" ht="15.6" x14ac:dyDescent="0.3">
      <c r="A45" s="28">
        <f t="shared" si="4"/>
        <v>39</v>
      </c>
      <c r="B45" s="16" t="s">
        <v>158</v>
      </c>
      <c r="C45" s="16" t="s">
        <v>162</v>
      </c>
      <c r="D45" s="4" t="s">
        <v>167</v>
      </c>
      <c r="E45" s="5">
        <v>44389</v>
      </c>
      <c r="F45" s="31">
        <f>16223+327</f>
        <v>16550</v>
      </c>
      <c r="G45" s="31">
        <f t="shared" si="5"/>
        <v>2979</v>
      </c>
      <c r="H45" s="31"/>
      <c r="I45" s="31">
        <f t="shared" si="3"/>
        <v>19529</v>
      </c>
    </row>
    <row r="46" spans="1:9" ht="15.6" x14ac:dyDescent="0.3">
      <c r="A46" s="28">
        <f t="shared" si="4"/>
        <v>40</v>
      </c>
      <c r="B46" s="16" t="s">
        <v>165</v>
      </c>
      <c r="C46" s="16" t="s">
        <v>199</v>
      </c>
      <c r="D46" s="4" t="s">
        <v>166</v>
      </c>
      <c r="E46" s="5">
        <v>44389</v>
      </c>
      <c r="F46" s="31">
        <f>158175+0.4</f>
        <v>158175.4</v>
      </c>
      <c r="G46" s="31">
        <f t="shared" si="5"/>
        <v>28471.571999999996</v>
      </c>
      <c r="H46" s="31"/>
      <c r="I46" s="31">
        <f t="shared" si="3"/>
        <v>186646.97199999998</v>
      </c>
    </row>
    <row r="47" spans="1:9" ht="15.6" x14ac:dyDescent="0.3">
      <c r="A47" s="28">
        <f t="shared" si="4"/>
        <v>41</v>
      </c>
      <c r="B47" s="16" t="s">
        <v>158</v>
      </c>
      <c r="C47" s="16" t="s">
        <v>162</v>
      </c>
      <c r="D47" s="4" t="s">
        <v>168</v>
      </c>
      <c r="E47" s="5">
        <v>44393</v>
      </c>
      <c r="F47" s="31">
        <v>2695</v>
      </c>
      <c r="G47" s="31">
        <f t="shared" si="5"/>
        <v>485.09999999999997</v>
      </c>
      <c r="H47" s="31"/>
      <c r="I47" s="31">
        <f t="shared" si="3"/>
        <v>3180.1</v>
      </c>
    </row>
    <row r="48" spans="1:9" ht="15.6" x14ac:dyDescent="0.3">
      <c r="A48" s="28">
        <f t="shared" si="4"/>
        <v>42</v>
      </c>
      <c r="B48" s="16" t="s">
        <v>107</v>
      </c>
      <c r="C48" s="16" t="s">
        <v>109</v>
      </c>
      <c r="D48" s="4" t="s">
        <v>128</v>
      </c>
      <c r="E48" s="5">
        <v>44398</v>
      </c>
      <c r="F48" s="31">
        <v>900000</v>
      </c>
      <c r="G48" s="31">
        <f t="shared" si="5"/>
        <v>162000</v>
      </c>
      <c r="H48" s="31">
        <v>1062</v>
      </c>
      <c r="I48" s="31">
        <f t="shared" si="3"/>
        <v>1063062</v>
      </c>
    </row>
    <row r="49" spans="1:9" ht="15.6" x14ac:dyDescent="0.3">
      <c r="A49" s="28">
        <f t="shared" si="4"/>
        <v>43</v>
      </c>
      <c r="B49" s="16" t="s">
        <v>158</v>
      </c>
      <c r="C49" s="16" t="s">
        <v>162</v>
      </c>
      <c r="D49" s="4" t="s">
        <v>169</v>
      </c>
      <c r="E49" s="5">
        <v>44398</v>
      </c>
      <c r="F49" s="31">
        <v>7263</v>
      </c>
      <c r="G49" s="31">
        <f t="shared" si="5"/>
        <v>1307.3399999999999</v>
      </c>
      <c r="H49" s="31"/>
      <c r="I49" s="31">
        <f t="shared" si="3"/>
        <v>8570.34</v>
      </c>
    </row>
    <row r="50" spans="1:9" ht="15.6" x14ac:dyDescent="0.3">
      <c r="A50" s="28">
        <f t="shared" si="4"/>
        <v>44</v>
      </c>
      <c r="B50" s="16" t="s">
        <v>107</v>
      </c>
      <c r="C50" s="16" t="s">
        <v>109</v>
      </c>
      <c r="D50" s="4" t="s">
        <v>129</v>
      </c>
      <c r="E50" s="5">
        <v>44419</v>
      </c>
      <c r="F50" s="31">
        <v>40000</v>
      </c>
      <c r="G50" s="31">
        <f t="shared" si="5"/>
        <v>7200</v>
      </c>
      <c r="H50" s="31">
        <v>47</v>
      </c>
      <c r="I50" s="31">
        <f t="shared" si="3"/>
        <v>47247</v>
      </c>
    </row>
    <row r="51" spans="1:9" ht="15.6" x14ac:dyDescent="0.3">
      <c r="A51" s="28">
        <f t="shared" si="4"/>
        <v>45</v>
      </c>
      <c r="B51" s="16" t="s">
        <v>158</v>
      </c>
      <c r="C51" s="16" t="s">
        <v>162</v>
      </c>
      <c r="D51" s="4" t="s">
        <v>170</v>
      </c>
      <c r="E51" s="5">
        <v>44426</v>
      </c>
      <c r="F51" s="31">
        <f>98771+1540</f>
        <v>100311</v>
      </c>
      <c r="G51" s="31">
        <f t="shared" si="5"/>
        <v>18055.98</v>
      </c>
      <c r="H51" s="31"/>
      <c r="I51" s="31">
        <f t="shared" si="3"/>
        <v>118366.98</v>
      </c>
    </row>
    <row r="52" spans="1:9" ht="15.6" x14ac:dyDescent="0.3">
      <c r="A52" s="28">
        <f t="shared" si="4"/>
        <v>46</v>
      </c>
      <c r="B52" s="16" t="s">
        <v>158</v>
      </c>
      <c r="C52" s="16" t="s">
        <v>162</v>
      </c>
      <c r="D52" s="4" t="s">
        <v>171</v>
      </c>
      <c r="E52" s="5">
        <v>44428</v>
      </c>
      <c r="F52" s="31">
        <v>20102</v>
      </c>
      <c r="G52" s="31">
        <f t="shared" si="5"/>
        <v>3618.3599999999997</v>
      </c>
      <c r="H52" s="31"/>
      <c r="I52" s="31">
        <f t="shared" si="3"/>
        <v>23720.36</v>
      </c>
    </row>
    <row r="53" spans="1:9" ht="15.6" x14ac:dyDescent="0.3">
      <c r="A53" s="28">
        <f t="shared" si="4"/>
        <v>47</v>
      </c>
      <c r="B53" s="16" t="s">
        <v>172</v>
      </c>
      <c r="C53" s="16" t="s">
        <v>140</v>
      </c>
      <c r="D53" s="4" t="s">
        <v>173</v>
      </c>
      <c r="E53" s="5">
        <v>44431</v>
      </c>
      <c r="F53" s="31">
        <v>130508.5</v>
      </c>
      <c r="G53" s="31">
        <f t="shared" si="5"/>
        <v>23491.53</v>
      </c>
      <c r="H53" s="31"/>
      <c r="I53" s="31">
        <f t="shared" si="3"/>
        <v>154000.03</v>
      </c>
    </row>
    <row r="54" spans="1:9" ht="15.6" x14ac:dyDescent="0.3">
      <c r="A54" s="28">
        <f t="shared" si="4"/>
        <v>48</v>
      </c>
      <c r="B54" s="16" t="s">
        <v>174</v>
      </c>
      <c r="C54" s="16" t="s">
        <v>140</v>
      </c>
      <c r="D54" s="4" t="s">
        <v>176</v>
      </c>
      <c r="E54" s="5">
        <v>44436</v>
      </c>
      <c r="F54" s="31">
        <v>117187.5</v>
      </c>
      <c r="G54" s="31">
        <f>+F54*28%</f>
        <v>32812.5</v>
      </c>
      <c r="H54" s="31"/>
      <c r="I54" s="31">
        <f t="shared" si="3"/>
        <v>150000</v>
      </c>
    </row>
    <row r="55" spans="1:9" ht="15.6" x14ac:dyDescent="0.3">
      <c r="A55" s="28">
        <f t="shared" si="4"/>
        <v>49</v>
      </c>
      <c r="B55" s="16" t="s">
        <v>174</v>
      </c>
      <c r="C55" s="16" t="s">
        <v>140</v>
      </c>
      <c r="D55" s="4" t="s">
        <v>175</v>
      </c>
      <c r="E55" s="5">
        <v>44436</v>
      </c>
      <c r="F55" s="31">
        <v>117187.5</v>
      </c>
      <c r="G55" s="31">
        <f>+F55*28%</f>
        <v>32812.5</v>
      </c>
      <c r="H55" s="31"/>
      <c r="I55" s="31">
        <f t="shared" si="3"/>
        <v>150000</v>
      </c>
    </row>
    <row r="56" spans="1:9" ht="15.6" x14ac:dyDescent="0.3">
      <c r="A56" s="28">
        <f t="shared" si="4"/>
        <v>50</v>
      </c>
      <c r="B56" s="16" t="s">
        <v>107</v>
      </c>
      <c r="C56" s="16" t="s">
        <v>109</v>
      </c>
      <c r="D56" s="4" t="s">
        <v>130</v>
      </c>
      <c r="E56" s="5">
        <v>44439</v>
      </c>
      <c r="F56" s="31">
        <v>116123</v>
      </c>
      <c r="G56" s="31">
        <f>+F56*18%</f>
        <v>20902.14</v>
      </c>
      <c r="H56" s="31">
        <v>137</v>
      </c>
      <c r="I56" s="31">
        <f t="shared" si="3"/>
        <v>137162.14000000001</v>
      </c>
    </row>
    <row r="57" spans="1:9" ht="15.6" x14ac:dyDescent="0.3">
      <c r="A57" s="28">
        <f t="shared" si="4"/>
        <v>51</v>
      </c>
      <c r="B57" s="16" t="s">
        <v>158</v>
      </c>
      <c r="C57" s="16" t="s">
        <v>181</v>
      </c>
      <c r="D57" s="4" t="s">
        <v>177</v>
      </c>
      <c r="E57" s="5">
        <v>44441</v>
      </c>
      <c r="F57" s="31">
        <v>8534</v>
      </c>
      <c r="G57" s="31">
        <f>+F57*18%</f>
        <v>1536.12</v>
      </c>
      <c r="H57" s="31"/>
      <c r="I57" s="31">
        <f t="shared" si="3"/>
        <v>10070.119999999999</v>
      </c>
    </row>
    <row r="58" spans="1:9" ht="15.6" x14ac:dyDescent="0.3">
      <c r="A58" s="28">
        <f t="shared" si="4"/>
        <v>52</v>
      </c>
      <c r="B58" s="16" t="s">
        <v>158</v>
      </c>
      <c r="C58" s="16" t="s">
        <v>179</v>
      </c>
      <c r="D58" s="4" t="s">
        <v>178</v>
      </c>
      <c r="E58" s="5">
        <v>44443</v>
      </c>
      <c r="F58" s="31">
        <f>57833.5+857</f>
        <v>58690.5</v>
      </c>
      <c r="G58" s="31">
        <f>+F58*18%</f>
        <v>10564.289999999999</v>
      </c>
      <c r="H58" s="31"/>
      <c r="I58" s="31">
        <f t="shared" si="3"/>
        <v>69254.789999999994</v>
      </c>
    </row>
    <row r="59" spans="1:9" ht="15.6" x14ac:dyDescent="0.3">
      <c r="A59" s="28">
        <f t="shared" si="4"/>
        <v>53</v>
      </c>
      <c r="B59" s="16" t="s">
        <v>138</v>
      </c>
      <c r="C59" s="16" t="s">
        <v>140</v>
      </c>
      <c r="D59" s="4" t="s">
        <v>182</v>
      </c>
      <c r="E59" s="5">
        <v>44447</v>
      </c>
      <c r="F59" s="31">
        <v>168656</v>
      </c>
      <c r="G59" s="31">
        <f>+F59*28%</f>
        <v>47223.680000000008</v>
      </c>
      <c r="H59" s="31"/>
      <c r="I59" s="31">
        <f t="shared" si="3"/>
        <v>215879.67999999999</v>
      </c>
    </row>
    <row r="60" spans="1:9" ht="15.6" x14ac:dyDescent="0.3">
      <c r="A60" s="28">
        <f t="shared" si="4"/>
        <v>54</v>
      </c>
      <c r="B60" s="16" t="s">
        <v>138</v>
      </c>
      <c r="C60" s="16" t="s">
        <v>140</v>
      </c>
      <c r="D60" s="4" t="s">
        <v>183</v>
      </c>
      <c r="E60" s="5">
        <v>44448</v>
      </c>
      <c r="F60" s="31">
        <v>168656</v>
      </c>
      <c r="G60" s="31">
        <f>+F60*28%</f>
        <v>47223.680000000008</v>
      </c>
      <c r="H60" s="31"/>
      <c r="I60" s="31">
        <f t="shared" si="3"/>
        <v>215879.67999999999</v>
      </c>
    </row>
    <row r="61" spans="1:9" ht="15.6" x14ac:dyDescent="0.3">
      <c r="A61" s="28">
        <f t="shared" si="4"/>
        <v>55</v>
      </c>
      <c r="B61" s="16" t="s">
        <v>138</v>
      </c>
      <c r="C61" s="16" t="s">
        <v>140</v>
      </c>
      <c r="D61" s="4" t="s">
        <v>184</v>
      </c>
      <c r="E61" s="5">
        <v>44448</v>
      </c>
      <c r="F61" s="31">
        <v>166648.44</v>
      </c>
      <c r="G61" s="31">
        <f>+F61*28%</f>
        <v>46661.563200000004</v>
      </c>
      <c r="H61" s="31"/>
      <c r="I61" s="31">
        <f t="shared" si="3"/>
        <v>213310.00320000001</v>
      </c>
    </row>
    <row r="62" spans="1:9" ht="15.6" x14ac:dyDescent="0.3">
      <c r="A62" s="28">
        <f t="shared" si="4"/>
        <v>56</v>
      </c>
      <c r="B62" s="16" t="s">
        <v>158</v>
      </c>
      <c r="C62" s="16" t="s">
        <v>162</v>
      </c>
      <c r="D62" s="4" t="s">
        <v>185</v>
      </c>
      <c r="E62" s="5">
        <v>44453</v>
      </c>
      <c r="F62" s="31">
        <f>21641+364</f>
        <v>22005</v>
      </c>
      <c r="G62" s="31">
        <f>+F62*18%</f>
        <v>3960.8999999999996</v>
      </c>
      <c r="H62" s="31"/>
      <c r="I62" s="31">
        <f t="shared" ref="I62:I89" si="6">+F62+G62+H62</f>
        <v>25965.9</v>
      </c>
    </row>
    <row r="63" spans="1:9" ht="15.6" x14ac:dyDescent="0.3">
      <c r="A63" s="28">
        <f t="shared" si="4"/>
        <v>57</v>
      </c>
      <c r="B63" s="16" t="s">
        <v>158</v>
      </c>
      <c r="C63" s="16" t="s">
        <v>162</v>
      </c>
      <c r="D63" s="4" t="s">
        <v>186</v>
      </c>
      <c r="E63" s="5">
        <v>44454</v>
      </c>
      <c r="F63" s="31">
        <f>5820+233</f>
        <v>6053</v>
      </c>
      <c r="G63" s="31">
        <f>+F63*18%</f>
        <v>1089.54</v>
      </c>
      <c r="H63" s="31"/>
      <c r="I63" s="31">
        <f t="shared" si="6"/>
        <v>7142.54</v>
      </c>
    </row>
    <row r="64" spans="1:9" ht="15.6" x14ac:dyDescent="0.3">
      <c r="A64" s="28">
        <f t="shared" si="4"/>
        <v>58</v>
      </c>
      <c r="B64" s="16" t="s">
        <v>158</v>
      </c>
      <c r="C64" s="16" t="s">
        <v>162</v>
      </c>
      <c r="D64" s="4" t="s">
        <v>187</v>
      </c>
      <c r="E64" s="5">
        <v>44461</v>
      </c>
      <c r="F64" s="31">
        <f>48247.45+988</f>
        <v>49235.45</v>
      </c>
      <c r="G64" s="31">
        <f>+F64*18%</f>
        <v>8862.3809999999994</v>
      </c>
      <c r="H64" s="31"/>
      <c r="I64" s="31">
        <f t="shared" si="6"/>
        <v>58097.830999999998</v>
      </c>
    </row>
    <row r="65" spans="1:9" ht="15.6" x14ac:dyDescent="0.3">
      <c r="A65" s="28">
        <f t="shared" si="4"/>
        <v>59</v>
      </c>
      <c r="B65" s="16" t="s">
        <v>138</v>
      </c>
      <c r="C65" s="16" t="s">
        <v>140</v>
      </c>
      <c r="D65" s="4" t="s">
        <v>188</v>
      </c>
      <c r="E65" s="5">
        <v>44464</v>
      </c>
      <c r="F65" s="31">
        <v>184718.75</v>
      </c>
      <c r="G65" s="31">
        <f>+F65*28%</f>
        <v>51721.250000000007</v>
      </c>
      <c r="H65" s="31"/>
      <c r="I65" s="31">
        <f t="shared" si="6"/>
        <v>236440</v>
      </c>
    </row>
    <row r="66" spans="1:9" ht="15.6" x14ac:dyDescent="0.3">
      <c r="A66" s="28">
        <f t="shared" si="4"/>
        <v>60</v>
      </c>
      <c r="B66" s="16" t="s">
        <v>138</v>
      </c>
      <c r="C66" s="16" t="s">
        <v>140</v>
      </c>
      <c r="D66" s="4" t="s">
        <v>189</v>
      </c>
      <c r="E66" s="5">
        <v>44468</v>
      </c>
      <c r="F66" s="31">
        <v>168656</v>
      </c>
      <c r="G66" s="31">
        <f>+F66*28%</f>
        <v>47223.680000000008</v>
      </c>
      <c r="H66" s="31"/>
      <c r="I66" s="31">
        <f t="shared" si="6"/>
        <v>215879.67999999999</v>
      </c>
    </row>
    <row r="67" spans="1:9" ht="15.6" x14ac:dyDescent="0.3">
      <c r="A67" s="28">
        <f t="shared" si="4"/>
        <v>61</v>
      </c>
      <c r="B67" s="16" t="s">
        <v>138</v>
      </c>
      <c r="C67" s="16" t="s">
        <v>140</v>
      </c>
      <c r="D67" s="4" t="s">
        <v>190</v>
      </c>
      <c r="E67" s="5">
        <v>44473</v>
      </c>
      <c r="F67" s="31">
        <v>166648.44</v>
      </c>
      <c r="G67" s="31">
        <f>+F67*28%</f>
        <v>46661.563200000004</v>
      </c>
      <c r="H67" s="31"/>
      <c r="I67" s="31">
        <f t="shared" si="6"/>
        <v>213310.00320000001</v>
      </c>
    </row>
    <row r="68" spans="1:9" ht="15.6" x14ac:dyDescent="0.3">
      <c r="A68" s="28">
        <f t="shared" si="4"/>
        <v>62</v>
      </c>
      <c r="B68" s="16" t="s">
        <v>158</v>
      </c>
      <c r="C68" s="16" t="s">
        <v>192</v>
      </c>
      <c r="D68" s="4" t="s">
        <v>191</v>
      </c>
      <c r="E68" s="5">
        <v>44474</v>
      </c>
      <c r="F68" s="31">
        <f>2563+206</f>
        <v>2769</v>
      </c>
      <c r="G68" s="31">
        <f t="shared" ref="G68:G73" si="7">+F68*18%</f>
        <v>498.41999999999996</v>
      </c>
      <c r="H68" s="31"/>
      <c r="I68" s="31">
        <f t="shared" si="6"/>
        <v>3267.42</v>
      </c>
    </row>
    <row r="69" spans="1:9" ht="15.6" x14ac:dyDescent="0.3">
      <c r="A69" s="28">
        <f t="shared" si="4"/>
        <v>63</v>
      </c>
      <c r="B69" s="16" t="s">
        <v>158</v>
      </c>
      <c r="C69" s="16" t="s">
        <v>181</v>
      </c>
      <c r="D69" s="4" t="s">
        <v>193</v>
      </c>
      <c r="E69" s="5">
        <v>44475</v>
      </c>
      <c r="F69" s="31">
        <v>7627.5</v>
      </c>
      <c r="G69" s="31">
        <f t="shared" si="7"/>
        <v>1372.95</v>
      </c>
      <c r="H69" s="31"/>
      <c r="I69" s="31">
        <f t="shared" si="6"/>
        <v>9000.4500000000007</v>
      </c>
    </row>
    <row r="70" spans="1:9" ht="15.6" x14ac:dyDescent="0.3">
      <c r="A70" s="28">
        <f t="shared" si="4"/>
        <v>64</v>
      </c>
      <c r="B70" s="16" t="s">
        <v>194</v>
      </c>
      <c r="C70" s="16" t="s">
        <v>196</v>
      </c>
      <c r="D70" s="4" t="s">
        <v>195</v>
      </c>
      <c r="E70" s="5">
        <v>44486</v>
      </c>
      <c r="F70" s="31">
        <f>369840+1500</f>
        <v>371340</v>
      </c>
      <c r="G70" s="31">
        <f t="shared" si="7"/>
        <v>66841.2</v>
      </c>
      <c r="H70" s="31"/>
      <c r="I70" s="31">
        <f t="shared" si="6"/>
        <v>438181.2</v>
      </c>
    </row>
    <row r="71" spans="1:9" ht="15.6" x14ac:dyDescent="0.3">
      <c r="A71" s="28">
        <f t="shared" ref="A71:A104" si="8">A70+1</f>
        <v>65</v>
      </c>
      <c r="B71" s="16" t="s">
        <v>107</v>
      </c>
      <c r="C71" s="16" t="s">
        <v>109</v>
      </c>
      <c r="D71" s="4" t="s">
        <v>131</v>
      </c>
      <c r="E71" s="5">
        <v>44489</v>
      </c>
      <c r="F71" s="31">
        <v>70000</v>
      </c>
      <c r="G71" s="31">
        <f t="shared" si="7"/>
        <v>12600</v>
      </c>
      <c r="H71" s="31"/>
      <c r="I71" s="31">
        <f t="shared" si="6"/>
        <v>82600</v>
      </c>
    </row>
    <row r="72" spans="1:9" ht="15.6" x14ac:dyDescent="0.3">
      <c r="A72" s="28">
        <f t="shared" si="8"/>
        <v>66</v>
      </c>
      <c r="B72" s="16" t="s">
        <v>165</v>
      </c>
      <c r="C72" s="16" t="s">
        <v>199</v>
      </c>
      <c r="D72" s="4" t="s">
        <v>198</v>
      </c>
      <c r="E72" s="5">
        <v>44491</v>
      </c>
      <c r="F72" s="31">
        <v>115200</v>
      </c>
      <c r="G72" s="31">
        <f t="shared" si="7"/>
        <v>20736</v>
      </c>
      <c r="H72" s="31"/>
      <c r="I72" s="31">
        <f t="shared" si="6"/>
        <v>135936</v>
      </c>
    </row>
    <row r="73" spans="1:9" ht="15.6" x14ac:dyDescent="0.3">
      <c r="A73" s="28">
        <f t="shared" si="8"/>
        <v>67</v>
      </c>
      <c r="B73" s="16" t="s">
        <v>194</v>
      </c>
      <c r="C73" s="16" t="s">
        <v>196</v>
      </c>
      <c r="D73" s="4" t="s">
        <v>197</v>
      </c>
      <c r="E73" s="5">
        <v>44494</v>
      </c>
      <c r="F73" s="31">
        <v>42000</v>
      </c>
      <c r="G73" s="31">
        <f t="shared" si="7"/>
        <v>7560</v>
      </c>
      <c r="H73" s="31"/>
      <c r="I73" s="31">
        <f t="shared" si="6"/>
        <v>49560</v>
      </c>
    </row>
    <row r="74" spans="1:9" ht="15.6" x14ac:dyDescent="0.3">
      <c r="A74" s="28">
        <f t="shared" si="8"/>
        <v>68</v>
      </c>
      <c r="B74" s="16" t="s">
        <v>138</v>
      </c>
      <c r="C74" s="16" t="s">
        <v>140</v>
      </c>
      <c r="D74" s="4" t="s">
        <v>200</v>
      </c>
      <c r="E74" s="5">
        <v>44498</v>
      </c>
      <c r="F74" s="31">
        <v>237187.5</v>
      </c>
      <c r="G74" s="31">
        <f>+F74*28%</f>
        <v>66412.5</v>
      </c>
      <c r="H74" s="31"/>
      <c r="I74" s="31">
        <f t="shared" si="6"/>
        <v>303600</v>
      </c>
    </row>
    <row r="75" spans="1:9" ht="15.6" x14ac:dyDescent="0.3">
      <c r="A75" s="28">
        <f t="shared" si="8"/>
        <v>69</v>
      </c>
      <c r="B75" s="16" t="s">
        <v>154</v>
      </c>
      <c r="C75" s="16" t="s">
        <v>140</v>
      </c>
      <c r="D75" s="4" t="s">
        <v>201</v>
      </c>
      <c r="E75" s="5">
        <v>44501</v>
      </c>
      <c r="F75" s="31">
        <v>164062.5</v>
      </c>
      <c r="G75" s="31">
        <f>+F75*28%</f>
        <v>45937.500000000007</v>
      </c>
      <c r="H75" s="31"/>
      <c r="I75" s="31">
        <f t="shared" si="6"/>
        <v>210000</v>
      </c>
    </row>
    <row r="76" spans="1:9" ht="15.6" x14ac:dyDescent="0.3">
      <c r="A76" s="28">
        <f t="shared" si="8"/>
        <v>70</v>
      </c>
      <c r="B76" s="16" t="s">
        <v>194</v>
      </c>
      <c r="C76" s="16" t="s">
        <v>196</v>
      </c>
      <c r="D76" s="4" t="s">
        <v>202</v>
      </c>
      <c r="E76" s="5">
        <v>44501</v>
      </c>
      <c r="F76" s="31">
        <v>12318.8</v>
      </c>
      <c r="G76" s="31">
        <f>+F76*18%</f>
        <v>2217.3839999999996</v>
      </c>
      <c r="H76" s="31"/>
      <c r="I76" s="31">
        <f t="shared" si="6"/>
        <v>14536.183999999999</v>
      </c>
    </row>
    <row r="77" spans="1:9" ht="15.6" x14ac:dyDescent="0.3">
      <c r="A77" s="28">
        <f t="shared" si="8"/>
        <v>71</v>
      </c>
      <c r="B77" s="16" t="s">
        <v>107</v>
      </c>
      <c r="C77" s="16" t="s">
        <v>109</v>
      </c>
      <c r="D77" s="4" t="s">
        <v>132</v>
      </c>
      <c r="E77" s="5">
        <v>44511</v>
      </c>
      <c r="F77" s="31">
        <v>270000</v>
      </c>
      <c r="G77" s="31">
        <f>+F77*18%</f>
        <v>48600</v>
      </c>
      <c r="H77" s="31"/>
      <c r="I77" s="31">
        <f t="shared" si="6"/>
        <v>318600</v>
      </c>
    </row>
    <row r="78" spans="1:9" ht="15.6" x14ac:dyDescent="0.3">
      <c r="A78" s="28">
        <f t="shared" si="8"/>
        <v>72</v>
      </c>
      <c r="B78" s="16" t="s">
        <v>138</v>
      </c>
      <c r="C78" s="16" t="s">
        <v>140</v>
      </c>
      <c r="D78" s="4" t="s">
        <v>203</v>
      </c>
      <c r="E78" s="5">
        <v>44524</v>
      </c>
      <c r="F78" s="31">
        <v>191625</v>
      </c>
      <c r="G78" s="31">
        <f>+F78*28%</f>
        <v>53655.000000000007</v>
      </c>
      <c r="H78" s="31"/>
      <c r="I78" s="31">
        <f t="shared" si="6"/>
        <v>245280</v>
      </c>
    </row>
    <row r="79" spans="1:9" ht="15.6" x14ac:dyDescent="0.3">
      <c r="A79" s="28">
        <f t="shared" si="8"/>
        <v>73</v>
      </c>
      <c r="B79" s="16" t="s">
        <v>135</v>
      </c>
      <c r="C79" s="16" t="s">
        <v>137</v>
      </c>
      <c r="D79" s="4" t="s">
        <v>136</v>
      </c>
      <c r="E79" s="5">
        <v>44525</v>
      </c>
      <c r="F79" s="31">
        <v>1010557</v>
      </c>
      <c r="G79" s="31">
        <f t="shared" ref="G79:G86" si="9">+F79*18%</f>
        <v>181900.25999999998</v>
      </c>
      <c r="H79" s="31">
        <v>0</v>
      </c>
      <c r="I79" s="31">
        <f t="shared" si="6"/>
        <v>1192457.26</v>
      </c>
    </row>
    <row r="80" spans="1:9" ht="15.6" x14ac:dyDescent="0.3">
      <c r="A80" s="28">
        <f t="shared" si="8"/>
        <v>74</v>
      </c>
      <c r="B80" s="16" t="s">
        <v>107</v>
      </c>
      <c r="C80" s="16" t="s">
        <v>109</v>
      </c>
      <c r="D80" s="4" t="s">
        <v>133</v>
      </c>
      <c r="E80" s="5">
        <v>44527</v>
      </c>
      <c r="F80" s="31">
        <v>870000</v>
      </c>
      <c r="G80" s="31">
        <f t="shared" si="9"/>
        <v>156600</v>
      </c>
      <c r="H80" s="31"/>
      <c r="I80" s="31">
        <f t="shared" si="6"/>
        <v>1026600</v>
      </c>
    </row>
    <row r="81" spans="1:9" ht="15.6" x14ac:dyDescent="0.3">
      <c r="A81" s="28">
        <f t="shared" si="8"/>
        <v>75</v>
      </c>
      <c r="B81" s="16" t="s">
        <v>107</v>
      </c>
      <c r="C81" s="16" t="s">
        <v>109</v>
      </c>
      <c r="D81" s="4" t="s">
        <v>134</v>
      </c>
      <c r="E81" s="5">
        <v>44539</v>
      </c>
      <c r="F81" s="31">
        <v>950000</v>
      </c>
      <c r="G81" s="31">
        <f t="shared" si="9"/>
        <v>171000</v>
      </c>
      <c r="H81" s="31"/>
      <c r="I81" s="31">
        <f t="shared" si="6"/>
        <v>1121000</v>
      </c>
    </row>
    <row r="82" spans="1:9" ht="15.6" x14ac:dyDescent="0.3">
      <c r="A82" s="28">
        <f t="shared" si="8"/>
        <v>76</v>
      </c>
      <c r="B82" s="16" t="s">
        <v>247</v>
      </c>
      <c r="C82" s="16" t="s">
        <v>250</v>
      </c>
      <c r="D82" s="4" t="s">
        <v>248</v>
      </c>
      <c r="E82" s="5">
        <v>44541</v>
      </c>
      <c r="F82" s="31">
        <f>23124.75-7941.12</f>
        <v>15183.630000000001</v>
      </c>
      <c r="G82" s="31">
        <f t="shared" si="9"/>
        <v>2733.0534000000002</v>
      </c>
      <c r="H82" s="31"/>
      <c r="I82" s="31">
        <f t="shared" si="6"/>
        <v>17916.683400000002</v>
      </c>
    </row>
    <row r="83" spans="1:9" ht="15.6" x14ac:dyDescent="0.3">
      <c r="A83" s="28">
        <f t="shared" si="8"/>
        <v>77</v>
      </c>
      <c r="B83" s="16" t="s">
        <v>247</v>
      </c>
      <c r="C83" s="16" t="s">
        <v>250</v>
      </c>
      <c r="D83" s="4" t="s">
        <v>251</v>
      </c>
      <c r="E83" s="5">
        <v>44541</v>
      </c>
      <c r="F83" s="31">
        <f>68216.3-19595.01</f>
        <v>48621.290000000008</v>
      </c>
      <c r="G83" s="31">
        <f t="shared" si="9"/>
        <v>8751.8322000000007</v>
      </c>
      <c r="H83" s="31"/>
      <c r="I83" s="31">
        <f t="shared" si="6"/>
        <v>57373.122200000013</v>
      </c>
    </row>
    <row r="84" spans="1:9" ht="15.6" x14ac:dyDescent="0.3">
      <c r="A84" s="28">
        <f t="shared" si="8"/>
        <v>78</v>
      </c>
      <c r="B84" s="16" t="s">
        <v>247</v>
      </c>
      <c r="C84" s="16" t="s">
        <v>250</v>
      </c>
      <c r="D84" s="4" t="s">
        <v>252</v>
      </c>
      <c r="E84" s="5">
        <v>44541</v>
      </c>
      <c r="F84" s="31">
        <f>7200-1097.99</f>
        <v>6102.01</v>
      </c>
      <c r="G84" s="31">
        <f t="shared" si="9"/>
        <v>1098.3617999999999</v>
      </c>
      <c r="H84" s="31"/>
      <c r="I84" s="31">
        <f t="shared" si="6"/>
        <v>7200.3717999999999</v>
      </c>
    </row>
    <row r="85" spans="1:9" ht="15.6" x14ac:dyDescent="0.3">
      <c r="A85" s="28">
        <f t="shared" si="8"/>
        <v>79</v>
      </c>
      <c r="B85" s="16" t="s">
        <v>107</v>
      </c>
      <c r="C85" s="16" t="s">
        <v>109</v>
      </c>
      <c r="D85" s="4" t="s">
        <v>239</v>
      </c>
      <c r="E85" s="5">
        <v>44551</v>
      </c>
      <c r="F85" s="31">
        <v>650000</v>
      </c>
      <c r="G85" s="31">
        <f t="shared" si="9"/>
        <v>117000</v>
      </c>
      <c r="H85" s="31"/>
      <c r="I85" s="31">
        <f t="shared" si="6"/>
        <v>767000</v>
      </c>
    </row>
    <row r="86" spans="1:9" ht="15.6" x14ac:dyDescent="0.3">
      <c r="A86" s="28">
        <f t="shared" si="8"/>
        <v>80</v>
      </c>
      <c r="B86" s="16" t="s">
        <v>107</v>
      </c>
      <c r="C86" s="16" t="s">
        <v>109</v>
      </c>
      <c r="D86" s="4" t="s">
        <v>240</v>
      </c>
      <c r="E86" s="5">
        <v>44552</v>
      </c>
      <c r="F86" s="31">
        <v>1225000</v>
      </c>
      <c r="G86" s="31">
        <f t="shared" si="9"/>
        <v>220500</v>
      </c>
      <c r="H86" s="31"/>
      <c r="I86" s="31">
        <f t="shared" si="6"/>
        <v>1445500</v>
      </c>
    </row>
    <row r="87" spans="1:9" ht="15.6" x14ac:dyDescent="0.3">
      <c r="A87" s="28">
        <f t="shared" si="8"/>
        <v>81</v>
      </c>
      <c r="B87" s="16" t="s">
        <v>145</v>
      </c>
      <c r="C87" s="16" t="s">
        <v>146</v>
      </c>
      <c r="D87" s="4" t="s">
        <v>153</v>
      </c>
      <c r="E87" s="5">
        <v>44553</v>
      </c>
      <c r="F87" s="31">
        <v>156000</v>
      </c>
      <c r="G87" s="31">
        <v>0</v>
      </c>
      <c r="H87" s="31"/>
      <c r="I87" s="31">
        <f t="shared" si="6"/>
        <v>156000</v>
      </c>
    </row>
    <row r="88" spans="1:9" ht="15.6" x14ac:dyDescent="0.3">
      <c r="A88" s="28">
        <f t="shared" si="8"/>
        <v>82</v>
      </c>
      <c r="B88" s="16" t="s">
        <v>138</v>
      </c>
      <c r="C88" s="16" t="s">
        <v>140</v>
      </c>
      <c r="D88" s="4" t="s">
        <v>147</v>
      </c>
      <c r="E88" s="5">
        <v>44555</v>
      </c>
      <c r="F88" s="31">
        <v>196875</v>
      </c>
      <c r="G88" s="31">
        <f>+F88*28%</f>
        <v>55125.000000000007</v>
      </c>
      <c r="H88" s="31"/>
      <c r="I88" s="31">
        <f t="shared" si="6"/>
        <v>252000</v>
      </c>
    </row>
    <row r="89" spans="1:9" ht="15.6" x14ac:dyDescent="0.3">
      <c r="A89" s="28">
        <f t="shared" si="8"/>
        <v>83</v>
      </c>
      <c r="B89" s="16" t="s">
        <v>138</v>
      </c>
      <c r="C89" s="16" t="s">
        <v>140</v>
      </c>
      <c r="D89" s="4" t="s">
        <v>243</v>
      </c>
      <c r="E89" s="5">
        <v>44562</v>
      </c>
      <c r="F89" s="31">
        <v>180468.75</v>
      </c>
      <c r="G89" s="31">
        <f>+F89*28%</f>
        <v>50531.250000000007</v>
      </c>
      <c r="H89" s="31"/>
      <c r="I89" s="31">
        <f t="shared" si="6"/>
        <v>231000</v>
      </c>
    </row>
    <row r="90" spans="1:9" ht="15.6" x14ac:dyDescent="0.3">
      <c r="A90" s="28">
        <f t="shared" si="8"/>
        <v>84</v>
      </c>
      <c r="B90" s="16" t="s">
        <v>158</v>
      </c>
      <c r="C90" s="16" t="s">
        <v>245</v>
      </c>
      <c r="D90" s="4" t="s">
        <v>244</v>
      </c>
      <c r="E90" s="5">
        <v>44562</v>
      </c>
      <c r="F90" s="31">
        <f>637917+3200</f>
        <v>641117</v>
      </c>
      <c r="G90" s="31">
        <f>+F90*18%</f>
        <v>115401.06</v>
      </c>
      <c r="H90" s="31"/>
      <c r="I90" s="31">
        <f>+F90+G90+H90-59027</f>
        <v>697491.06</v>
      </c>
    </row>
    <row r="91" spans="1:9" ht="15.6" x14ac:dyDescent="0.3">
      <c r="A91" s="28">
        <f t="shared" si="8"/>
        <v>85</v>
      </c>
      <c r="B91" s="16" t="s">
        <v>107</v>
      </c>
      <c r="C91" s="16" t="s">
        <v>109</v>
      </c>
      <c r="D91" s="4" t="s">
        <v>315</v>
      </c>
      <c r="E91" s="5">
        <v>44564</v>
      </c>
      <c r="F91" s="31">
        <v>765129.4</v>
      </c>
      <c r="G91" s="31">
        <f>+F91*18%</f>
        <v>137723.29199999999</v>
      </c>
      <c r="H91" s="31"/>
      <c r="I91" s="31">
        <f>+F91+G91+H91</f>
        <v>902852.69200000004</v>
      </c>
    </row>
    <row r="92" spans="1:9" ht="15.6" x14ac:dyDescent="0.3">
      <c r="A92" s="28">
        <f t="shared" si="8"/>
        <v>86</v>
      </c>
      <c r="B92" s="16" t="s">
        <v>107</v>
      </c>
      <c r="C92" s="16" t="s">
        <v>109</v>
      </c>
      <c r="D92" s="4" t="s">
        <v>316</v>
      </c>
      <c r="E92" s="5">
        <v>44568</v>
      </c>
      <c r="F92" s="31">
        <v>1240000</v>
      </c>
      <c r="G92" s="31">
        <f>+F92*18%</f>
        <v>223200</v>
      </c>
      <c r="H92" s="31"/>
      <c r="I92" s="31">
        <f>+F92+G92+H92-142200</f>
        <v>1321000</v>
      </c>
    </row>
    <row r="93" spans="1:9" ht="15.6" x14ac:dyDescent="0.3">
      <c r="A93" s="28">
        <f t="shared" si="8"/>
        <v>87</v>
      </c>
      <c r="B93" s="16" t="s">
        <v>107</v>
      </c>
      <c r="C93" s="16" t="s">
        <v>109</v>
      </c>
      <c r="D93" s="4" t="s">
        <v>246</v>
      </c>
      <c r="E93" s="5">
        <v>44569</v>
      </c>
      <c r="F93" s="31">
        <v>190000</v>
      </c>
      <c r="G93" s="31">
        <f>+F93*18%</f>
        <v>34200</v>
      </c>
      <c r="H93" s="31"/>
      <c r="I93" s="31">
        <f t="shared" ref="I93:I99" si="10">+F93+G93+H93</f>
        <v>224200</v>
      </c>
    </row>
    <row r="94" spans="1:9" ht="15.6" x14ac:dyDescent="0.3">
      <c r="A94" s="28">
        <f t="shared" si="8"/>
        <v>88</v>
      </c>
      <c r="B94" s="16" t="s">
        <v>306</v>
      </c>
      <c r="C94" s="16" t="s">
        <v>308</v>
      </c>
      <c r="D94" s="4" t="s">
        <v>307</v>
      </c>
      <c r="E94" s="5">
        <v>44576</v>
      </c>
      <c r="F94" s="31">
        <v>127119</v>
      </c>
      <c r="G94" s="31">
        <f>+F94*18%</f>
        <v>22881.42</v>
      </c>
      <c r="H94" s="31"/>
      <c r="I94" s="31">
        <f t="shared" si="10"/>
        <v>150000.41999999998</v>
      </c>
    </row>
    <row r="95" spans="1:9" ht="15.6" x14ac:dyDescent="0.3">
      <c r="A95" s="28">
        <f t="shared" si="8"/>
        <v>89</v>
      </c>
      <c r="B95" s="16" t="s">
        <v>138</v>
      </c>
      <c r="C95" s="16" t="s">
        <v>140</v>
      </c>
      <c r="D95" s="4" t="s">
        <v>281</v>
      </c>
      <c r="E95" s="5">
        <v>44577</v>
      </c>
      <c r="F95" s="31">
        <v>177187.5</v>
      </c>
      <c r="G95" s="31">
        <f>+F95*28%</f>
        <v>49612.500000000007</v>
      </c>
      <c r="H95" s="31"/>
      <c r="I95" s="31">
        <f t="shared" si="10"/>
        <v>226800</v>
      </c>
    </row>
    <row r="96" spans="1:9" ht="15.6" x14ac:dyDescent="0.3">
      <c r="A96" s="28">
        <f t="shared" si="8"/>
        <v>90</v>
      </c>
      <c r="B96" s="16" t="s">
        <v>152</v>
      </c>
      <c r="C96" s="16" t="s">
        <v>146</v>
      </c>
      <c r="D96" s="4" t="s">
        <v>153</v>
      </c>
      <c r="E96" s="5">
        <v>44585</v>
      </c>
      <c r="F96" s="31">
        <v>104000</v>
      </c>
      <c r="G96" s="31">
        <v>0</v>
      </c>
      <c r="H96" s="31"/>
      <c r="I96" s="31">
        <f t="shared" si="10"/>
        <v>104000</v>
      </c>
    </row>
    <row r="97" spans="1:10" ht="15.6" x14ac:dyDescent="0.3">
      <c r="A97" s="28">
        <f t="shared" si="8"/>
        <v>91</v>
      </c>
      <c r="B97" s="16" t="s">
        <v>288</v>
      </c>
      <c r="C97" s="16" t="s">
        <v>146</v>
      </c>
      <c r="D97" s="4" t="s">
        <v>153</v>
      </c>
      <c r="E97" s="5">
        <v>44585</v>
      </c>
      <c r="F97" s="31">
        <v>100000</v>
      </c>
      <c r="G97" s="31">
        <v>0</v>
      </c>
      <c r="H97" s="31"/>
      <c r="I97" s="31">
        <f t="shared" si="10"/>
        <v>100000</v>
      </c>
    </row>
    <row r="98" spans="1:10" ht="15.6" x14ac:dyDescent="0.3">
      <c r="A98" s="28">
        <f t="shared" si="8"/>
        <v>92</v>
      </c>
      <c r="B98" s="16" t="s">
        <v>194</v>
      </c>
      <c r="C98" s="16" t="s">
        <v>196</v>
      </c>
      <c r="D98" s="4" t="s">
        <v>301</v>
      </c>
      <c r="E98" s="5">
        <v>44592</v>
      </c>
      <c r="F98" s="31">
        <f>131750+1200</f>
        <v>132950</v>
      </c>
      <c r="G98" s="31">
        <f>+F98*18%</f>
        <v>23931</v>
      </c>
      <c r="H98" s="31"/>
      <c r="I98" s="31">
        <f t="shared" si="10"/>
        <v>156881</v>
      </c>
    </row>
    <row r="99" spans="1:10" ht="15.6" x14ac:dyDescent="0.3">
      <c r="A99" s="28">
        <f t="shared" si="8"/>
        <v>93</v>
      </c>
      <c r="B99" s="16" t="s">
        <v>107</v>
      </c>
      <c r="C99" s="16" t="s">
        <v>109</v>
      </c>
      <c r="D99" s="4" t="s">
        <v>298</v>
      </c>
      <c r="E99" s="5">
        <v>44593</v>
      </c>
      <c r="F99" s="31">
        <v>30600</v>
      </c>
      <c r="G99" s="31">
        <f>+F99*18%</f>
        <v>5508</v>
      </c>
      <c r="H99" s="31"/>
      <c r="I99" s="31">
        <f t="shared" si="10"/>
        <v>36108</v>
      </c>
    </row>
    <row r="100" spans="1:10" ht="15.6" x14ac:dyDescent="0.3">
      <c r="A100" s="28">
        <f t="shared" si="8"/>
        <v>94</v>
      </c>
      <c r="B100" s="16" t="s">
        <v>141</v>
      </c>
      <c r="C100" s="16" t="s">
        <v>157</v>
      </c>
      <c r="D100" s="4" t="s">
        <v>300</v>
      </c>
      <c r="E100" s="5">
        <v>44601</v>
      </c>
      <c r="F100" s="31">
        <v>104762</v>
      </c>
      <c r="G100" s="31">
        <f>+F100*5%</f>
        <v>5238.1000000000004</v>
      </c>
      <c r="H100" s="31"/>
      <c r="I100" s="31">
        <f>+F100+G100+H100</f>
        <v>110000.1</v>
      </c>
    </row>
    <row r="101" spans="1:10" ht="15.6" x14ac:dyDescent="0.3">
      <c r="A101" s="28">
        <f t="shared" si="8"/>
        <v>95</v>
      </c>
      <c r="B101" s="16" t="s">
        <v>138</v>
      </c>
      <c r="C101" s="16" t="s">
        <v>140</v>
      </c>
      <c r="D101" s="4" t="s">
        <v>310</v>
      </c>
      <c r="E101" s="5">
        <v>44603</v>
      </c>
      <c r="F101" s="31">
        <v>181562.5</v>
      </c>
      <c r="G101" s="31">
        <f>+F101*28%</f>
        <v>50837.500000000007</v>
      </c>
      <c r="H101" s="31"/>
      <c r="I101" s="31">
        <f>+F101+G101+H101</f>
        <v>232400</v>
      </c>
    </row>
    <row r="102" spans="1:10" ht="15.6" x14ac:dyDescent="0.3">
      <c r="A102" s="28">
        <f t="shared" si="8"/>
        <v>96</v>
      </c>
      <c r="B102" s="16" t="s">
        <v>312</v>
      </c>
      <c r="C102" s="16" t="s">
        <v>314</v>
      </c>
      <c r="D102" s="4" t="s">
        <v>313</v>
      </c>
      <c r="E102" s="5">
        <v>44604</v>
      </c>
      <c r="F102" s="31">
        <v>180305</v>
      </c>
      <c r="G102" s="31">
        <f>+F102*18%</f>
        <v>32454.899999999998</v>
      </c>
      <c r="H102" s="31"/>
      <c r="I102" s="31">
        <f>+F102+G102+H102</f>
        <v>212759.9</v>
      </c>
    </row>
    <row r="103" spans="1:10" ht="15.6" x14ac:dyDescent="0.3">
      <c r="A103" s="28">
        <f t="shared" si="8"/>
        <v>97</v>
      </c>
      <c r="B103" s="16" t="s">
        <v>141</v>
      </c>
      <c r="C103" s="16" t="s">
        <v>157</v>
      </c>
      <c r="D103" s="4" t="s">
        <v>311</v>
      </c>
      <c r="E103" s="5">
        <v>44618</v>
      </c>
      <c r="F103" s="31">
        <v>111428.7</v>
      </c>
      <c r="G103" s="31">
        <f>+F103*5%</f>
        <v>5571.4350000000004</v>
      </c>
      <c r="H103" s="31"/>
      <c r="I103" s="31">
        <f>+F103+G103+H103</f>
        <v>117000.13499999999</v>
      </c>
    </row>
    <row r="104" spans="1:10" ht="15.6" x14ac:dyDescent="0.3">
      <c r="A104" s="28">
        <f t="shared" si="8"/>
        <v>98</v>
      </c>
      <c r="B104" s="16" t="s">
        <v>321</v>
      </c>
      <c r="C104" s="16" t="s">
        <v>140</v>
      </c>
      <c r="D104" s="4" t="s">
        <v>323</v>
      </c>
      <c r="E104" s="5">
        <v>44621</v>
      </c>
      <c r="F104" s="31">
        <v>83367</v>
      </c>
      <c r="G104" s="31">
        <f>+F104*28%</f>
        <v>23342.760000000002</v>
      </c>
      <c r="H104" s="31"/>
      <c r="I104" s="31">
        <f>+F104+G104+H104</f>
        <v>106709.76000000001</v>
      </c>
    </row>
    <row r="105" spans="1:10" ht="15.6" x14ac:dyDescent="0.3">
      <c r="A105" s="28"/>
      <c r="B105" s="16"/>
      <c r="C105" s="16"/>
      <c r="D105" s="4"/>
      <c r="E105" s="23" t="s">
        <v>334</v>
      </c>
      <c r="F105" s="32">
        <f>SUM(F7:F104)</f>
        <v>33894918.530000001</v>
      </c>
      <c r="G105" s="32">
        <f>SUM(G7:G104)</f>
        <v>6248655.5624000002</v>
      </c>
      <c r="H105" s="32">
        <f>SUM(H7:H104)</f>
        <v>14688</v>
      </c>
      <c r="I105" s="32">
        <f>SUM(I7:I104)</f>
        <v>39941541.092399999</v>
      </c>
      <c r="J105" s="35">
        <f>I105-H105</f>
        <v>39926853.092399999</v>
      </c>
    </row>
  </sheetData>
  <sortState xmlns:xlrd2="http://schemas.microsoft.com/office/spreadsheetml/2017/richdata2" ref="A7:I105">
    <sortCondition ref="E6:E105"/>
  </sortState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rowBreaks count="1" manualBreakCount="1">
    <brk id="105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view="pageBreakPreview" zoomScale="60" workbookViewId="0">
      <selection activeCell="M7" sqref="M7"/>
    </sheetView>
  </sheetViews>
  <sheetFormatPr defaultRowHeight="14.4" x14ac:dyDescent="0.3"/>
  <cols>
    <col min="1" max="1" width="7.44140625" customWidth="1"/>
    <col min="2" max="2" width="38.109375" customWidth="1"/>
    <col min="3" max="3" width="34.33203125" customWidth="1"/>
    <col min="4" max="4" width="18.6640625" bestFit="1" customWidth="1"/>
    <col min="5" max="5" width="19" customWidth="1"/>
    <col min="6" max="7" width="17.6640625" bestFit="1" customWidth="1"/>
    <col min="8" max="8" width="19.44140625" customWidth="1"/>
    <col min="9" max="9" width="18.44140625" bestFit="1" customWidth="1"/>
  </cols>
  <sheetData>
    <row r="1" spans="1:10" ht="15.6" x14ac:dyDescent="0.3">
      <c r="A1" s="77" t="s">
        <v>335</v>
      </c>
      <c r="B1" s="77"/>
      <c r="C1" s="77"/>
      <c r="D1" s="77"/>
      <c r="E1" s="77"/>
      <c r="F1" s="77"/>
      <c r="G1" s="77"/>
      <c r="H1" s="77"/>
      <c r="I1" s="77"/>
    </row>
    <row r="2" spans="1:10" ht="15.6" x14ac:dyDescent="0.3">
      <c r="A2" s="77" t="s">
        <v>354</v>
      </c>
      <c r="B2" s="77"/>
      <c r="C2" s="77"/>
      <c r="D2" s="77"/>
      <c r="E2" s="77"/>
      <c r="F2" s="77"/>
      <c r="G2" s="77"/>
      <c r="H2" s="77"/>
      <c r="I2" s="77"/>
    </row>
    <row r="3" spans="1:10" ht="15.6" x14ac:dyDescent="0.3">
      <c r="A3" s="77" t="s">
        <v>337</v>
      </c>
      <c r="B3" s="77"/>
      <c r="C3" s="77"/>
      <c r="D3" s="77"/>
      <c r="E3" s="77"/>
      <c r="F3" s="77"/>
      <c r="G3" s="77"/>
      <c r="H3" s="77"/>
      <c r="I3" s="77"/>
    </row>
    <row r="4" spans="1:10" ht="15.6" x14ac:dyDescent="0.3">
      <c r="A4" s="48"/>
      <c r="B4" s="48"/>
      <c r="C4" s="48"/>
      <c r="D4" s="48"/>
      <c r="E4" s="48"/>
      <c r="F4" s="48"/>
      <c r="G4" s="48"/>
      <c r="H4" s="48"/>
      <c r="I4" s="48"/>
    </row>
    <row r="5" spans="1:10" ht="43.2" x14ac:dyDescent="0.3">
      <c r="A5" s="45" t="s">
        <v>324</v>
      </c>
      <c r="B5" s="45" t="s">
        <v>325</v>
      </c>
      <c r="C5" s="45" t="s">
        <v>326</v>
      </c>
      <c r="D5" s="45" t="s">
        <v>327</v>
      </c>
      <c r="E5" s="7" t="s">
        <v>328</v>
      </c>
      <c r="F5" s="45" t="s">
        <v>329</v>
      </c>
      <c r="G5" s="46" t="s">
        <v>330</v>
      </c>
      <c r="H5" s="46" t="s">
        <v>331</v>
      </c>
      <c r="I5" s="46" t="s">
        <v>332</v>
      </c>
      <c r="J5" s="44"/>
    </row>
    <row r="6" spans="1:10" ht="28.8" x14ac:dyDescent="0.3">
      <c r="A6" s="47">
        <v>1</v>
      </c>
      <c r="B6" s="49" t="s">
        <v>2</v>
      </c>
      <c r="C6" s="49" t="s">
        <v>342</v>
      </c>
      <c r="D6" s="47" t="s">
        <v>42</v>
      </c>
      <c r="E6" s="54">
        <v>44515</v>
      </c>
      <c r="F6" s="50">
        <v>87000</v>
      </c>
      <c r="G6" s="50">
        <v>15660</v>
      </c>
      <c r="H6" s="50">
        <v>0</v>
      </c>
      <c r="I6" s="50">
        <v>102660</v>
      </c>
    </row>
    <row r="7" spans="1:10" ht="28.8" x14ac:dyDescent="0.3">
      <c r="A7" s="47">
        <v>2</v>
      </c>
      <c r="B7" s="49" t="s">
        <v>2</v>
      </c>
      <c r="C7" s="49" t="s">
        <v>343</v>
      </c>
      <c r="D7" s="47" t="s">
        <v>42</v>
      </c>
      <c r="E7" s="54">
        <v>44515</v>
      </c>
      <c r="F7" s="50">
        <v>41500</v>
      </c>
      <c r="G7" s="50">
        <v>7470</v>
      </c>
      <c r="H7" s="50">
        <v>0</v>
      </c>
      <c r="I7" s="50">
        <v>48970</v>
      </c>
    </row>
    <row r="8" spans="1:10" ht="15.6" x14ac:dyDescent="0.3">
      <c r="A8" s="47">
        <v>3</v>
      </c>
      <c r="B8" s="49" t="s">
        <v>12</v>
      </c>
      <c r="C8" s="49" t="s">
        <v>350</v>
      </c>
      <c r="D8" s="47" t="s">
        <v>44</v>
      </c>
      <c r="E8" s="54">
        <v>44515</v>
      </c>
      <c r="F8" s="50">
        <v>500500</v>
      </c>
      <c r="G8" s="50">
        <v>90090</v>
      </c>
      <c r="H8" s="50">
        <v>0</v>
      </c>
      <c r="I8" s="50">
        <v>590590</v>
      </c>
    </row>
    <row r="9" spans="1:10" ht="15.6" x14ac:dyDescent="0.3">
      <c r="A9" s="47">
        <v>4</v>
      </c>
      <c r="B9" s="49" t="s">
        <v>12</v>
      </c>
      <c r="C9" s="49" t="s">
        <v>351</v>
      </c>
      <c r="D9" s="47" t="s">
        <v>44</v>
      </c>
      <c r="E9" s="54">
        <v>44515</v>
      </c>
      <c r="F9" s="50">
        <v>521000</v>
      </c>
      <c r="G9" s="50">
        <v>93780</v>
      </c>
      <c r="H9" s="50">
        <v>0</v>
      </c>
      <c r="I9" s="50">
        <v>614780</v>
      </c>
    </row>
    <row r="10" spans="1:10" ht="15.6" x14ac:dyDescent="0.3">
      <c r="A10" s="47">
        <v>5</v>
      </c>
      <c r="B10" s="49" t="s">
        <v>12</v>
      </c>
      <c r="C10" s="49" t="s">
        <v>344</v>
      </c>
      <c r="D10" s="47" t="s">
        <v>44</v>
      </c>
      <c r="E10" s="54">
        <v>44515</v>
      </c>
      <c r="F10" s="50">
        <v>45500</v>
      </c>
      <c r="G10" s="50">
        <v>8190</v>
      </c>
      <c r="H10" s="51">
        <v>0</v>
      </c>
      <c r="I10" s="50">
        <v>53690</v>
      </c>
    </row>
    <row r="11" spans="1:10" ht="15.6" x14ac:dyDescent="0.3">
      <c r="A11" s="47">
        <v>6</v>
      </c>
      <c r="B11" s="49" t="s">
        <v>10</v>
      </c>
      <c r="C11" s="49" t="s">
        <v>345</v>
      </c>
      <c r="D11" s="47" t="s">
        <v>41</v>
      </c>
      <c r="E11" s="54">
        <v>44526</v>
      </c>
      <c r="F11" s="50">
        <v>1830000</v>
      </c>
      <c r="G11" s="50">
        <v>329400</v>
      </c>
      <c r="H11" s="50">
        <v>0</v>
      </c>
      <c r="I11" s="50">
        <v>2159400</v>
      </c>
    </row>
    <row r="12" spans="1:10" ht="28.8" x14ac:dyDescent="0.3">
      <c r="A12" s="47">
        <v>7</v>
      </c>
      <c r="B12" s="49" t="s">
        <v>6</v>
      </c>
      <c r="C12" s="49" t="s">
        <v>346</v>
      </c>
      <c r="D12" s="47" t="s">
        <v>78</v>
      </c>
      <c r="E12" s="54">
        <v>44530</v>
      </c>
      <c r="F12" s="50">
        <v>180000</v>
      </c>
      <c r="G12" s="50">
        <v>32400</v>
      </c>
      <c r="H12" s="50">
        <v>0</v>
      </c>
      <c r="I12" s="50">
        <v>212400</v>
      </c>
    </row>
    <row r="13" spans="1:10" ht="15.6" x14ac:dyDescent="0.3">
      <c r="A13" s="47">
        <v>8</v>
      </c>
      <c r="B13" s="49" t="s">
        <v>95</v>
      </c>
      <c r="C13" s="49" t="s">
        <v>347</v>
      </c>
      <c r="D13" s="47" t="s">
        <v>96</v>
      </c>
      <c r="E13" s="54">
        <v>44531</v>
      </c>
      <c r="F13" s="50">
        <v>29600</v>
      </c>
      <c r="G13" s="50">
        <v>5328</v>
      </c>
      <c r="H13" s="50">
        <v>0</v>
      </c>
      <c r="I13" s="50">
        <v>34928</v>
      </c>
    </row>
    <row r="14" spans="1:10" ht="28.8" x14ac:dyDescent="0.3">
      <c r="A14" s="47">
        <v>9</v>
      </c>
      <c r="B14" s="49" t="s">
        <v>6</v>
      </c>
      <c r="C14" s="49" t="s">
        <v>348</v>
      </c>
      <c r="D14" s="47" t="s">
        <v>99</v>
      </c>
      <c r="E14" s="54">
        <v>44540</v>
      </c>
      <c r="F14" s="50">
        <v>840000</v>
      </c>
      <c r="G14" s="50">
        <v>151200</v>
      </c>
      <c r="H14" s="50">
        <v>0</v>
      </c>
      <c r="I14" s="50">
        <v>991200</v>
      </c>
    </row>
    <row r="15" spans="1:10" ht="15.6" x14ac:dyDescent="0.3">
      <c r="A15" s="47">
        <v>10</v>
      </c>
      <c r="B15" s="49" t="s">
        <v>275</v>
      </c>
      <c r="C15" s="49" t="s">
        <v>278</v>
      </c>
      <c r="D15" s="47" t="s">
        <v>276</v>
      </c>
      <c r="E15" s="54">
        <v>44559</v>
      </c>
      <c r="F15" s="50">
        <v>38500</v>
      </c>
      <c r="G15" s="50">
        <v>6930</v>
      </c>
      <c r="H15" s="50">
        <v>0</v>
      </c>
      <c r="I15" s="50">
        <v>45430</v>
      </c>
    </row>
    <row r="16" spans="1:10" ht="15.6" x14ac:dyDescent="0.3">
      <c r="A16" s="47">
        <v>11</v>
      </c>
      <c r="B16" s="49" t="s">
        <v>275</v>
      </c>
      <c r="C16" s="49" t="s">
        <v>278</v>
      </c>
      <c r="D16" s="47" t="s">
        <v>309</v>
      </c>
      <c r="E16" s="54">
        <v>44572</v>
      </c>
      <c r="F16" s="50">
        <v>7000</v>
      </c>
      <c r="G16" s="50">
        <v>1260</v>
      </c>
      <c r="H16" s="50">
        <v>0</v>
      </c>
      <c r="I16" s="50">
        <v>8260</v>
      </c>
    </row>
    <row r="17" spans="1:9" ht="15.6" x14ac:dyDescent="0.3">
      <c r="A17" s="47">
        <v>12</v>
      </c>
      <c r="B17" s="49" t="s">
        <v>279</v>
      </c>
      <c r="C17" s="49" t="s">
        <v>278</v>
      </c>
      <c r="D17" s="47" t="s">
        <v>280</v>
      </c>
      <c r="E17" s="54">
        <v>44578</v>
      </c>
      <c r="F17" s="50">
        <v>87500</v>
      </c>
      <c r="G17" s="50">
        <v>15750</v>
      </c>
      <c r="H17" s="50">
        <v>0</v>
      </c>
      <c r="I17" s="50">
        <v>103250</v>
      </c>
    </row>
    <row r="18" spans="1:9" ht="15.6" x14ac:dyDescent="0.3">
      <c r="A18" s="47">
        <v>13</v>
      </c>
      <c r="B18" s="47" t="s">
        <v>302</v>
      </c>
      <c r="C18" s="47" t="s">
        <v>352</v>
      </c>
      <c r="D18" s="47" t="s">
        <v>303</v>
      </c>
      <c r="E18" s="54">
        <v>44585</v>
      </c>
      <c r="F18" s="50">
        <v>347029</v>
      </c>
      <c r="G18" s="50">
        <v>62465</v>
      </c>
      <c r="H18" s="50">
        <v>0</v>
      </c>
      <c r="I18" s="50">
        <v>409494</v>
      </c>
    </row>
    <row r="19" spans="1:9" ht="15.6" x14ac:dyDescent="0.3">
      <c r="A19" s="47">
        <v>14</v>
      </c>
      <c r="B19" s="47" t="s">
        <v>291</v>
      </c>
      <c r="C19" s="47" t="s">
        <v>349</v>
      </c>
      <c r="D19" s="47" t="s">
        <v>292</v>
      </c>
      <c r="E19" s="54">
        <v>44589</v>
      </c>
      <c r="F19" s="50">
        <v>4000000</v>
      </c>
      <c r="G19" s="50">
        <v>720000</v>
      </c>
      <c r="H19" s="50">
        <v>0</v>
      </c>
      <c r="I19" s="50">
        <v>4720000</v>
      </c>
    </row>
    <row r="20" spans="1:9" ht="15.6" x14ac:dyDescent="0.3">
      <c r="A20" s="47">
        <v>15</v>
      </c>
      <c r="B20" s="47" t="s">
        <v>275</v>
      </c>
      <c r="C20" s="47" t="s">
        <v>353</v>
      </c>
      <c r="D20" s="47" t="s">
        <v>317</v>
      </c>
      <c r="E20" s="54">
        <v>44596</v>
      </c>
      <c r="F20" s="50">
        <v>21000</v>
      </c>
      <c r="G20" s="50">
        <v>3780</v>
      </c>
      <c r="H20" s="50">
        <v>0</v>
      </c>
      <c r="I20" s="50">
        <v>24780</v>
      </c>
    </row>
    <row r="21" spans="1:9" ht="15.6" x14ac:dyDescent="0.3">
      <c r="A21" s="52"/>
      <c r="B21" s="52"/>
      <c r="C21" s="52"/>
      <c r="D21" s="52"/>
      <c r="E21" s="55" t="s">
        <v>334</v>
      </c>
      <c r="F21" s="53">
        <f>SUM(F6:F20)</f>
        <v>8576129</v>
      </c>
      <c r="G21" s="53">
        <f t="shared" ref="G21:I21" si="0">SUM(G6:G20)</f>
        <v>1543703</v>
      </c>
      <c r="H21" s="53">
        <f t="shared" si="0"/>
        <v>0</v>
      </c>
      <c r="I21" s="53">
        <f t="shared" si="0"/>
        <v>10119832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P&amp;M List Final</vt:lpstr>
      <vt:lpstr>Plant &amp; Machinery list</vt:lpstr>
      <vt:lpstr>Civil work list</vt:lpstr>
      <vt:lpstr>Pendiing Bill P&amp;M</vt:lpstr>
      <vt:lpstr>'Civil work list'!Print_Area</vt:lpstr>
      <vt:lpstr>'P&amp;M List Final'!Print_Area</vt:lpstr>
      <vt:lpstr>'Plant &amp; Machinery list'!Print_Area</vt:lpstr>
      <vt:lpstr>'P&amp;M List Final'!Print_Titles</vt:lpstr>
      <vt:lpstr>'Plant &amp; Machinery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ECS</dc:creator>
  <cp:lastModifiedBy>Avinash pandey</cp:lastModifiedBy>
  <cp:lastPrinted>2023-07-27T06:45:53Z</cp:lastPrinted>
  <dcterms:created xsi:type="dcterms:W3CDTF">2018-02-21T06:12:57Z</dcterms:created>
  <dcterms:modified xsi:type="dcterms:W3CDTF">2024-02-24T06:12:20Z</dcterms:modified>
</cp:coreProperties>
</file>