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INU SURENDRAN\Ramkrishna Patkar\KOHINUR INDUSTRIAL COMPLEX\"/>
    </mc:Choice>
  </mc:AlternateContent>
  <xr:revisionPtr revIDLastSave="0" documentId="8_{62BA0EAD-FF2A-48F5-97F3-F2706E58C0D9}" xr6:coauthVersionLast="45" xr6:coauthVersionMax="45" xr10:uidLastSave="{00000000-0000-0000-0000-000000000000}"/>
  <bookViews>
    <workbookView xWindow="-120" yWindow="-120" windowWidth="29040" windowHeight="1572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calcPr calcId="191029"/>
</workbook>
</file>

<file path=xl/calcChain.xml><?xml version="1.0" encoding="utf-8"?>
<calcChain xmlns="http://schemas.openxmlformats.org/spreadsheetml/2006/main">
  <c r="D29" i="1" l="1"/>
  <c r="D28" i="1"/>
  <c r="E28" i="1" s="1"/>
  <c r="E30" i="1"/>
  <c r="D30" i="1"/>
  <c r="C30" i="1"/>
  <c r="E29" i="1"/>
  <c r="C29" i="1"/>
  <c r="C28" i="1"/>
  <c r="D27" i="1"/>
  <c r="C27" i="1"/>
  <c r="E27" i="1" s="1"/>
  <c r="E26" i="1"/>
  <c r="D26" i="1"/>
  <c r="C26" i="1"/>
  <c r="M104" i="1" l="1"/>
  <c r="M113" i="1"/>
  <c r="M107" i="1"/>
  <c r="M108" i="1"/>
  <c r="M109" i="1"/>
  <c r="M102" i="1"/>
  <c r="M103" i="1"/>
  <c r="M92" i="1"/>
  <c r="M86" i="1"/>
  <c r="M87" i="1"/>
  <c r="M88" i="1"/>
  <c r="M83" i="1"/>
  <c r="M81" i="1"/>
  <c r="M82" i="1"/>
  <c r="M62" i="1"/>
  <c r="M71" i="1"/>
  <c r="M65" i="1"/>
  <c r="M66" i="1"/>
  <c r="M67" i="1"/>
  <c r="M60" i="1"/>
  <c r="M61" i="1"/>
  <c r="M50" i="1"/>
  <c r="M44" i="1"/>
  <c r="M45" i="1"/>
  <c r="M46" i="1"/>
  <c r="M41" i="1"/>
  <c r="M39" i="1"/>
  <c r="M40" i="1"/>
  <c r="M19" i="1"/>
  <c r="Y12" i="6"/>
  <c r="W13" i="5"/>
  <c r="U12" i="4"/>
  <c r="U10" i="4"/>
  <c r="T10" i="3"/>
  <c r="T8" i="3"/>
  <c r="Y11" i="2"/>
  <c r="M28" i="1"/>
  <c r="M22" i="1"/>
  <c r="M23" i="1"/>
  <c r="M24" i="1"/>
  <c r="M17" i="1"/>
  <c r="M18" i="1"/>
  <c r="H17" i="1"/>
  <c r="H18" i="1"/>
  <c r="H16" i="1"/>
  <c r="H14" i="1"/>
  <c r="D6" i="1"/>
  <c r="E8" i="1"/>
  <c r="H8" i="1"/>
  <c r="D5" i="1"/>
  <c r="D7" i="1"/>
  <c r="C7" i="1"/>
  <c r="E7" i="1"/>
  <c r="H7" i="1"/>
  <c r="C6" i="1"/>
  <c r="C5" i="1"/>
  <c r="E5" i="1"/>
  <c r="H5" i="1"/>
  <c r="H15" i="1"/>
  <c r="E6" i="1"/>
  <c r="H6" i="1"/>
  <c r="M89" i="1"/>
  <c r="M93" i="1"/>
  <c r="M68" i="1"/>
  <c r="M72" i="1"/>
  <c r="H20" i="1"/>
  <c r="M110" i="1"/>
  <c r="M114" i="1"/>
  <c r="I18" i="1"/>
  <c r="M47" i="1"/>
  <c r="M51" i="1"/>
  <c r="I15" i="1"/>
  <c r="H10" i="1"/>
  <c r="M25" i="1"/>
  <c r="M29" i="1"/>
  <c r="I17" i="1"/>
  <c r="M94" i="1"/>
  <c r="M95" i="1"/>
  <c r="M96" i="1"/>
  <c r="M75" i="1"/>
  <c r="I16" i="1"/>
  <c r="M30" i="1"/>
  <c r="I14" i="1"/>
  <c r="M74" i="1"/>
  <c r="M73" i="1"/>
  <c r="M117" i="1"/>
  <c r="M116" i="1"/>
  <c r="M115" i="1"/>
  <c r="M54" i="1"/>
  <c r="M53" i="1"/>
  <c r="M52" i="1"/>
  <c r="M31" i="1"/>
  <c r="M32" i="1"/>
  <c r="I20" i="1"/>
</calcChain>
</file>

<file path=xl/sharedStrings.xml><?xml version="1.0" encoding="utf-8"?>
<sst xmlns="http://schemas.openxmlformats.org/spreadsheetml/2006/main" count="132" uniqueCount="55">
  <si>
    <t>Unit No. 209</t>
  </si>
  <si>
    <t>Unit No. 210</t>
  </si>
  <si>
    <t>Unit No. 211</t>
  </si>
  <si>
    <t xml:space="preserve">Terrace </t>
  </si>
  <si>
    <t>Rate Per SQ.FT</t>
  </si>
  <si>
    <t xml:space="preserve">    Value </t>
  </si>
  <si>
    <t xml:space="preserve">Total C.A including 40% Terrace </t>
  </si>
  <si>
    <t>C.A (as per draft agreement)</t>
  </si>
  <si>
    <t>C.A+ 40% Terrace area</t>
  </si>
  <si>
    <t>Unit No. 229</t>
  </si>
  <si>
    <t>Unit No:</t>
  </si>
  <si>
    <t xml:space="preserve">Carpet Area </t>
  </si>
  <si>
    <t>Terrace Area</t>
  </si>
  <si>
    <t>344.32 Sq. Ft</t>
  </si>
  <si>
    <t>1119 Sq. Ft</t>
  </si>
  <si>
    <t>168.96 Sq. Ft</t>
  </si>
  <si>
    <t>549 Sq. Ft</t>
  </si>
  <si>
    <t>1119 Sq. ft</t>
  </si>
  <si>
    <t>Total Area</t>
  </si>
  <si>
    <t>4455 Sq. Ft.</t>
  </si>
  <si>
    <t>Unit No. 221</t>
  </si>
  <si>
    <t>Unit No. 222</t>
  </si>
  <si>
    <t>Unit No. 223</t>
  </si>
  <si>
    <t>Unit No. 224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</si>
  <si>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</si>
  <si>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</si>
  <si>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</si>
  <si>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</si>
  <si>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</si>
  <si>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</si>
  <si>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</si>
  <si>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</si>
  <si>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</si>
  <si>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</si>
  <si>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</si>
  <si>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</si>
  <si>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</si>
  <si>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</si>
  <si>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</si>
  <si>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  As per Previous report</t>
  </si>
  <si>
    <t>per sqft on C.A</t>
  </si>
  <si>
    <t>PER Sq.FT on C.A</t>
  </si>
  <si>
    <t xml:space="preserve"> PER SQ.FT ON C.A</t>
  </si>
  <si>
    <t>Per sq.ft on C.A</t>
  </si>
  <si>
    <t>Carpet Area (Unit No. 221)</t>
  </si>
  <si>
    <t>Carpet Area (Unit No. 222)</t>
  </si>
  <si>
    <t>Carpet Area (Unit No. 223)</t>
  </si>
  <si>
    <t>Carpet Area (Unit No. 224)</t>
  </si>
  <si>
    <t>Carpet Area (Unit No. 229)</t>
  </si>
  <si>
    <t>Depreciated  FMV</t>
  </si>
  <si>
    <t xml:space="preserve">Fair Market Value </t>
  </si>
  <si>
    <t>IDBI</t>
  </si>
  <si>
    <t>BUA</t>
  </si>
  <si>
    <t xml:space="preserve">ca +20% </t>
  </si>
  <si>
    <t>40%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</si>
</sst>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8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Bookman Old Style"/>
      <family val="1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2" fontId="0" fillId="0" borderId="0" xfId="0" applyNumberFormat="1"/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 wrapText="1"/>
    </xf>
    <xf numFmtId="2" fontId="2" fillId="0" borderId="1" xfId="0" applyNumberFormat="1" applyFont="1" applyBorder="1"/>
    <xf numFmtId="0" fontId="2" fillId="0" borderId="1" xfId="0" applyFont="1" applyBorder="1"/>
    <xf numFmtId="2" fontId="2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 wrapText="1"/>
    </xf>
    <xf numFmtId="43" fontId="1" fillId="0" borderId="0" xfId="1" applyFont="1"/>
    <xf numFmtId="43" fontId="2" fillId="0" borderId="1" xfId="1" applyFont="1" applyBorder="1"/>
    <xf numFmtId="0" fontId="4" fillId="0" borderId="3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justify" vertical="center" wrapText="1"/>
    </xf>
    <xf numFmtId="0" fontId="4" fillId="0" borderId="6" xfId="0" applyFont="1" applyBorder="1" applyAlignment="1">
      <alignment horizontal="justify" vertical="center" wrapText="1"/>
    </xf>
    <xf numFmtId="0" fontId="5" fillId="0" borderId="2" xfId="1" applyNumberFormat="1" applyFont="1" applyFill="1" applyBorder="1"/>
    <xf numFmtId="0" fontId="5" fillId="0" borderId="2" xfId="0" applyFont="1" applyBorder="1"/>
    <xf numFmtId="0" fontId="6" fillId="0" borderId="0" xfId="0" applyFont="1"/>
    <xf numFmtId="0" fontId="7" fillId="0" borderId="2" xfId="1" applyNumberFormat="1" applyFont="1" applyFill="1" applyBorder="1" applyAlignment="1">
      <alignment wrapText="1"/>
    </xf>
    <xf numFmtId="0" fontId="0" fillId="0" borderId="2" xfId="0" applyFont="1" applyBorder="1"/>
    <xf numFmtId="0" fontId="7" fillId="0" borderId="2" xfId="1" applyNumberFormat="1" applyFont="1" applyFill="1" applyBorder="1"/>
    <xf numFmtId="43" fontId="0" fillId="0" borderId="2" xfId="0" applyNumberFormat="1" applyFont="1" applyBorder="1"/>
    <xf numFmtId="0" fontId="5" fillId="0" borderId="2" xfId="1" applyNumberFormat="1" applyFont="1" applyBorder="1"/>
    <xf numFmtId="10" fontId="5" fillId="0" borderId="2" xfId="1" applyNumberFormat="1" applyFont="1" applyBorder="1"/>
    <xf numFmtId="43" fontId="5" fillId="0" borderId="2" xfId="0" applyNumberFormat="1" applyFont="1" applyBorder="1"/>
    <xf numFmtId="0" fontId="7" fillId="2" borderId="2" xfId="0" applyFont="1" applyFill="1" applyBorder="1"/>
    <xf numFmtId="43" fontId="2" fillId="2" borderId="2" xfId="0" applyNumberFormat="1" applyFont="1" applyFill="1" applyBorder="1"/>
    <xf numFmtId="168" fontId="6" fillId="0" borderId="0" xfId="0" applyNumberFormat="1" applyFont="1"/>
    <xf numFmtId="43" fontId="7" fillId="2" borderId="2" xfId="0" applyNumberFormat="1" applyFont="1" applyFill="1" applyBorder="1"/>
    <xf numFmtId="0" fontId="8" fillId="0" borderId="2" xfId="1" applyNumberFormat="1" applyFont="1" applyFill="1" applyBorder="1"/>
    <xf numFmtId="43" fontId="8" fillId="0" borderId="2" xfId="0" applyNumberFormat="1" applyFont="1" applyBorder="1"/>
    <xf numFmtId="43" fontId="0" fillId="0" borderId="0" xfId="0" applyNumberFormat="1"/>
    <xf numFmtId="0" fontId="9" fillId="0" borderId="0" xfId="0" applyFont="1" applyBorder="1"/>
    <xf numFmtId="0" fontId="10" fillId="0" borderId="0" xfId="0" applyFont="1" applyBorder="1"/>
    <xf numFmtId="43" fontId="10" fillId="0" borderId="0" xfId="0" applyNumberFormat="1" applyFont="1" applyBorder="1"/>
    <xf numFmtId="2" fontId="2" fillId="0" borderId="1" xfId="0" applyNumberFormat="1" applyFont="1" applyBorder="1" applyAlignment="1">
      <alignment horizontal="right"/>
    </xf>
    <xf numFmtId="2" fontId="2" fillId="0" borderId="0" xfId="0" applyNumberFormat="1" applyFont="1"/>
    <xf numFmtId="2" fontId="2" fillId="0" borderId="0" xfId="0" applyNumberFormat="1" applyFont="1" applyAlignment="1">
      <alignment horizontal="center"/>
    </xf>
    <xf numFmtId="0" fontId="3" fillId="0" borderId="0" xfId="0" applyFont="1"/>
    <xf numFmtId="2" fontId="3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22</xdr:col>
      <xdr:colOff>561975</xdr:colOff>
      <xdr:row>44</xdr:row>
      <xdr:rowOff>123825</xdr:rowOff>
    </xdr:to>
    <xdr:pic>
      <xdr:nvPicPr>
        <xdr:cNvPr id="2117" name="Picture 1">
          <a:extLst>
            <a:ext uri="{FF2B5EF4-FFF2-40B4-BE49-F238E27FC236}">
              <a16:creationId xmlns:a16="http://schemas.microsoft.com/office/drawing/2014/main" id="{AC594DF5-FE02-4931-BC07-0A74C6F4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3363575" cy="812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523875</xdr:colOff>
      <xdr:row>33</xdr:row>
      <xdr:rowOff>95250</xdr:rowOff>
    </xdr:to>
    <xdr:pic>
      <xdr:nvPicPr>
        <xdr:cNvPr id="3141" name="Picture 1">
          <a:extLst>
            <a:ext uri="{FF2B5EF4-FFF2-40B4-BE49-F238E27FC236}">
              <a16:creationId xmlns:a16="http://schemas.microsoft.com/office/drawing/2014/main" id="{36661175-02C7-4340-AEAD-826AAF22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027747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361950</xdr:colOff>
      <xdr:row>35</xdr:row>
      <xdr:rowOff>133350</xdr:rowOff>
    </xdr:to>
    <xdr:pic>
      <xdr:nvPicPr>
        <xdr:cNvPr id="4165" name="Picture 1">
          <a:extLst>
            <a:ext uri="{FF2B5EF4-FFF2-40B4-BE49-F238E27FC236}">
              <a16:creationId xmlns:a16="http://schemas.microsoft.com/office/drawing/2014/main" id="{3F4E698F-B541-4662-9843-24C110E72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0725150" cy="661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571500</xdr:colOff>
      <xdr:row>41</xdr:row>
      <xdr:rowOff>171450</xdr:rowOff>
    </xdr:to>
    <xdr:pic>
      <xdr:nvPicPr>
        <xdr:cNvPr id="5189" name="Picture 1">
          <a:extLst>
            <a:ext uri="{FF2B5EF4-FFF2-40B4-BE49-F238E27FC236}">
              <a16:creationId xmlns:a16="http://schemas.microsoft.com/office/drawing/2014/main" id="{4CF53279-E0C8-41FA-964A-FFB7C8600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0" cy="798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504825</xdr:colOff>
      <xdr:row>43</xdr:row>
      <xdr:rowOff>57150</xdr:rowOff>
    </xdr:to>
    <xdr:pic>
      <xdr:nvPicPr>
        <xdr:cNvPr id="6213" name="Picture 1">
          <a:extLst>
            <a:ext uri="{FF2B5EF4-FFF2-40B4-BE49-F238E27FC236}">
              <a16:creationId xmlns:a16="http://schemas.microsoft.com/office/drawing/2014/main" id="{E0B15930-032C-497F-BFE2-359C35B2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916025" cy="824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7"/>
  <sheetViews>
    <sheetView tabSelected="1" topLeftCell="A40" workbookViewId="0">
      <selection activeCell="P18" sqref="P18"/>
    </sheetView>
  </sheetViews>
  <sheetFormatPr defaultRowHeight="15" x14ac:dyDescent="0.25"/>
  <cols>
    <col min="1" max="1" width="3.7109375" customWidth="1"/>
    <col min="2" max="2" width="16.140625" customWidth="1"/>
    <col min="3" max="3" width="14.5703125" style="1" customWidth="1"/>
    <col min="4" max="4" width="11" style="1" customWidth="1"/>
    <col min="5" max="5" width="13.5703125" style="1" customWidth="1"/>
    <col min="6" max="6" width="12.140625" customWidth="1"/>
    <col min="7" max="7" width="5.28515625" customWidth="1"/>
    <col min="8" max="8" width="19.85546875" style="1" customWidth="1"/>
    <col min="9" max="9" width="17.5703125" customWidth="1"/>
    <col min="12" max="12" width="22.7109375" customWidth="1"/>
    <col min="13" max="13" width="17.85546875" customWidth="1"/>
    <col min="14" max="14" width="13.85546875" customWidth="1"/>
    <col min="15" max="15" width="21.85546875" customWidth="1"/>
    <col min="16" max="16" width="24.5703125" customWidth="1"/>
  </cols>
  <sheetData>
    <row r="2" spans="2:16" x14ac:dyDescent="0.25">
      <c r="E2" s="1" t="s">
        <v>51</v>
      </c>
    </row>
    <row r="4" spans="2:16" s="2" customFormat="1" ht="45.75" customHeight="1" thickBot="1" x14ac:dyDescent="0.3">
      <c r="C4" s="8" t="s">
        <v>7</v>
      </c>
      <c r="D4" s="3" t="s">
        <v>3</v>
      </c>
      <c r="E4" s="4" t="s">
        <v>8</v>
      </c>
      <c r="F4" s="2" t="s">
        <v>4</v>
      </c>
      <c r="H4" s="7" t="s">
        <v>5</v>
      </c>
    </row>
    <row r="5" spans="2:16" ht="28.5" customHeight="1" thickBot="1" x14ac:dyDescent="0.3">
      <c r="B5" t="s">
        <v>0</v>
      </c>
      <c r="C5" s="1">
        <f>35.4*10.764</f>
        <v>381.04559999999998</v>
      </c>
      <c r="D5" s="1">
        <f>108*10.764</f>
        <v>1162.5119999999999</v>
      </c>
      <c r="E5" s="1">
        <f>C5+(D5*40%)</f>
        <v>846.05039999999997</v>
      </c>
      <c r="F5">
        <v>7100</v>
      </c>
      <c r="H5" s="9">
        <f>E5*F5</f>
        <v>6006957.8399999999</v>
      </c>
      <c r="N5" s="11" t="s">
        <v>10</v>
      </c>
      <c r="O5" s="12" t="s">
        <v>11</v>
      </c>
      <c r="P5" s="12" t="s">
        <v>12</v>
      </c>
    </row>
    <row r="6" spans="2:16" ht="27.75" customHeight="1" thickBot="1" x14ac:dyDescent="0.3">
      <c r="B6" t="s">
        <v>1</v>
      </c>
      <c r="C6" s="1">
        <f>35.4*10.764</f>
        <v>381.04559999999998</v>
      </c>
      <c r="D6" s="1">
        <f>108*10.764</f>
        <v>1162.5119999999999</v>
      </c>
      <c r="E6" s="1">
        <f>C6+(D6*40%)</f>
        <v>846.05039999999997</v>
      </c>
      <c r="F6">
        <v>7100</v>
      </c>
      <c r="H6" s="9">
        <f>E6*F6</f>
        <v>6006957.8399999999</v>
      </c>
      <c r="N6" s="13">
        <v>221</v>
      </c>
      <c r="O6" s="14" t="s">
        <v>13</v>
      </c>
      <c r="P6" s="14" t="s">
        <v>14</v>
      </c>
    </row>
    <row r="7" spans="2:16" ht="30" customHeight="1" thickBot="1" x14ac:dyDescent="0.3">
      <c r="B7" t="s">
        <v>2</v>
      </c>
      <c r="C7" s="1">
        <f>35.4*10.764</f>
        <v>381.04559999999998</v>
      </c>
      <c r="D7" s="1">
        <f>75.74*10.764</f>
        <v>815.26535999999987</v>
      </c>
      <c r="E7" s="1">
        <f>C7+(D7*40%)</f>
        <v>707.15174400000001</v>
      </c>
      <c r="F7">
        <v>7100</v>
      </c>
      <c r="H7" s="9">
        <f>E7*F7</f>
        <v>5020777.3824000005</v>
      </c>
      <c r="N7" s="13">
        <v>222</v>
      </c>
      <c r="O7" s="14" t="s">
        <v>13</v>
      </c>
      <c r="P7" s="14" t="s">
        <v>14</v>
      </c>
    </row>
    <row r="8" spans="2:16" ht="27" customHeight="1" thickBot="1" x14ac:dyDescent="0.3">
      <c r="B8" t="s">
        <v>9</v>
      </c>
      <c r="C8" s="1">
        <v>384.67</v>
      </c>
      <c r="D8" s="1">
        <v>1162.51</v>
      </c>
      <c r="E8" s="1">
        <f>C8+(D8*40%)</f>
        <v>849.67399999999998</v>
      </c>
      <c r="F8">
        <v>7100</v>
      </c>
      <c r="H8" s="9">
        <f>E8*F8</f>
        <v>6032685.3999999994</v>
      </c>
      <c r="N8" s="13">
        <v>223</v>
      </c>
      <c r="O8" s="14" t="s">
        <v>15</v>
      </c>
      <c r="P8" s="14" t="s">
        <v>16</v>
      </c>
    </row>
    <row r="9" spans="2:16" ht="16.5" thickBot="1" x14ac:dyDescent="0.3">
      <c r="H9" s="9"/>
      <c r="N9" s="13">
        <v>224</v>
      </c>
      <c r="O9" s="14" t="s">
        <v>15</v>
      </c>
      <c r="P9" s="14" t="s">
        <v>16</v>
      </c>
    </row>
    <row r="10" spans="2:16" ht="20.25" customHeight="1" thickBot="1" x14ac:dyDescent="0.3">
      <c r="B10" s="35" t="s">
        <v>6</v>
      </c>
      <c r="C10" s="35"/>
      <c r="D10" s="35"/>
      <c r="E10" s="5"/>
      <c r="F10" s="6"/>
      <c r="G10" s="6"/>
      <c r="H10" s="10">
        <f>SUM(H5:H9)</f>
        <v>23067378.462399997</v>
      </c>
      <c r="N10" s="13">
        <v>229</v>
      </c>
      <c r="O10" s="14" t="s">
        <v>13</v>
      </c>
      <c r="P10" s="14" t="s">
        <v>17</v>
      </c>
    </row>
    <row r="11" spans="2:16" ht="28.5" customHeight="1" thickTop="1" thickBot="1" x14ac:dyDescent="0.3">
      <c r="N11" s="13" t="s">
        <v>18</v>
      </c>
      <c r="O11" s="14">
        <v>1370.88</v>
      </c>
      <c r="P11" s="14" t="s">
        <v>19</v>
      </c>
    </row>
    <row r="12" spans="2:16" ht="28.5" customHeight="1" x14ac:dyDescent="0.25"/>
    <row r="13" spans="2:16" ht="45" x14ac:dyDescent="0.25">
      <c r="B13" s="2"/>
      <c r="C13" s="8" t="s">
        <v>7</v>
      </c>
      <c r="D13" s="3" t="s">
        <v>3</v>
      </c>
      <c r="E13" s="4" t="s">
        <v>8</v>
      </c>
      <c r="F13" s="2" t="s">
        <v>4</v>
      </c>
      <c r="G13" s="2"/>
      <c r="H13" s="7" t="s">
        <v>50</v>
      </c>
      <c r="I13" s="7" t="s">
        <v>49</v>
      </c>
    </row>
    <row r="14" spans="2:16" ht="21" customHeight="1" x14ac:dyDescent="0.3">
      <c r="B14" t="s">
        <v>20</v>
      </c>
      <c r="C14" s="1">
        <v>344.32</v>
      </c>
      <c r="D14" s="1">
        <v>1119</v>
      </c>
      <c r="E14" s="1">
        <v>792</v>
      </c>
      <c r="F14">
        <v>7200</v>
      </c>
      <c r="H14" s="9">
        <f>E14*F14</f>
        <v>5702400</v>
      </c>
      <c r="I14" s="9">
        <f>M29</f>
        <v>5388324</v>
      </c>
      <c r="L14" s="15" t="s">
        <v>24</v>
      </c>
      <c r="M14" s="16"/>
      <c r="N14" s="17"/>
    </row>
    <row r="15" spans="2:16" ht="16.5" x14ac:dyDescent="0.3">
      <c r="B15" t="s">
        <v>21</v>
      </c>
      <c r="C15" s="1">
        <v>344.32</v>
      </c>
      <c r="D15" s="1">
        <v>1119</v>
      </c>
      <c r="E15" s="1">
        <v>792</v>
      </c>
      <c r="F15">
        <v>7200</v>
      </c>
      <c r="H15" s="9">
        <f>E15*F15</f>
        <v>5702400</v>
      </c>
      <c r="I15" s="9">
        <f>M51</f>
        <v>5388324</v>
      </c>
      <c r="L15" s="15" t="s">
        <v>25</v>
      </c>
      <c r="M15" s="16">
        <v>2024</v>
      </c>
      <c r="N15" s="17"/>
    </row>
    <row r="16" spans="2:16" ht="21" customHeight="1" x14ac:dyDescent="0.3">
      <c r="B16" t="s">
        <v>22</v>
      </c>
      <c r="C16" s="1">
        <v>168.96</v>
      </c>
      <c r="D16" s="1">
        <v>549</v>
      </c>
      <c r="E16" s="1">
        <v>389</v>
      </c>
      <c r="F16">
        <v>7200</v>
      </c>
      <c r="H16" s="9">
        <f>E16*F16</f>
        <v>2800800</v>
      </c>
      <c r="I16" s="9">
        <f>M72</f>
        <v>2643852</v>
      </c>
      <c r="L16" s="18" t="s">
        <v>26</v>
      </c>
      <c r="M16" s="19">
        <v>2014</v>
      </c>
      <c r="N16" s="17" t="s">
        <v>39</v>
      </c>
    </row>
    <row r="17" spans="2:14" ht="16.5" x14ac:dyDescent="0.3">
      <c r="B17" t="s">
        <v>23</v>
      </c>
      <c r="C17" s="1">
        <v>168.96</v>
      </c>
      <c r="D17" s="1">
        <v>549</v>
      </c>
      <c r="E17" s="1">
        <v>389</v>
      </c>
      <c r="F17">
        <v>7200</v>
      </c>
      <c r="H17" s="9">
        <f>E17*F17</f>
        <v>2800800</v>
      </c>
      <c r="I17" s="9">
        <f>M93</f>
        <v>2643852</v>
      </c>
      <c r="L17" s="20" t="s">
        <v>27</v>
      </c>
      <c r="M17" s="19">
        <f>M15-M16</f>
        <v>10</v>
      </c>
      <c r="N17" s="17"/>
    </row>
    <row r="18" spans="2:14" ht="16.5" x14ac:dyDescent="0.3">
      <c r="B18" t="s">
        <v>9</v>
      </c>
      <c r="C18" s="1">
        <v>344.32</v>
      </c>
      <c r="D18" s="1">
        <v>1119</v>
      </c>
      <c r="E18" s="1">
        <v>792</v>
      </c>
      <c r="F18">
        <v>7200</v>
      </c>
      <c r="H18" s="9">
        <f>E18*F18</f>
        <v>5702400</v>
      </c>
      <c r="I18" s="9">
        <f>M114</f>
        <v>5388324</v>
      </c>
      <c r="L18" s="16"/>
      <c r="M18" s="19">
        <f>M17-60</f>
        <v>-50</v>
      </c>
      <c r="N18" s="17"/>
    </row>
    <row r="19" spans="2:14" ht="19.5" customHeight="1" x14ac:dyDescent="0.3">
      <c r="H19" s="9"/>
      <c r="I19" s="9"/>
      <c r="L19" s="16" t="s">
        <v>28</v>
      </c>
      <c r="M19" s="21">
        <f>950*2200</f>
        <v>2090000</v>
      </c>
      <c r="N19" s="17"/>
    </row>
    <row r="20" spans="2:14" ht="18" customHeight="1" thickBot="1" x14ac:dyDescent="0.35">
      <c r="B20" s="35" t="s">
        <v>6</v>
      </c>
      <c r="C20" s="35"/>
      <c r="D20" s="35"/>
      <c r="E20" s="5"/>
      <c r="F20" s="6"/>
      <c r="G20" s="6"/>
      <c r="H20" s="10">
        <f>SUM(H14:H19)</f>
        <v>22708800</v>
      </c>
      <c r="I20" s="10">
        <f>SUM(I14:I19)</f>
        <v>21452676</v>
      </c>
      <c r="L20" s="16" t="s">
        <v>29</v>
      </c>
      <c r="M20" s="19"/>
      <c r="N20" s="17"/>
    </row>
    <row r="21" spans="2:14" ht="17.25" thickTop="1" x14ac:dyDescent="0.3">
      <c r="L21" s="16"/>
      <c r="M21" s="19"/>
      <c r="N21" s="17"/>
    </row>
    <row r="22" spans="2:14" ht="16.5" x14ac:dyDescent="0.3">
      <c r="L22" s="16" t="s">
        <v>30</v>
      </c>
      <c r="M22" s="22">
        <f>100-10</f>
        <v>90</v>
      </c>
      <c r="N22" s="17"/>
    </row>
    <row r="23" spans="2:14" ht="16.5" x14ac:dyDescent="0.3">
      <c r="L23" s="15" t="s">
        <v>31</v>
      </c>
      <c r="M23" s="19">
        <f>M22*10/60</f>
        <v>15</v>
      </c>
      <c r="N23" s="17"/>
    </row>
    <row r="24" spans="2:14" ht="16.5" x14ac:dyDescent="0.3">
      <c r="C24" s="36" t="s">
        <v>52</v>
      </c>
      <c r="L24" s="15"/>
      <c r="M24" s="23">
        <f>M23%</f>
        <v>0.15</v>
      </c>
      <c r="N24" s="17"/>
    </row>
    <row r="25" spans="2:14" ht="16.5" x14ac:dyDescent="0.3">
      <c r="C25" s="37" t="s">
        <v>53</v>
      </c>
      <c r="D25" s="37" t="s">
        <v>54</v>
      </c>
      <c r="E25" s="37" t="s">
        <v>52</v>
      </c>
      <c r="L25" s="15" t="s">
        <v>32</v>
      </c>
      <c r="M25" s="24">
        <f>ROUND((M19*M24),0)</f>
        <v>313500</v>
      </c>
      <c r="N25" s="17"/>
    </row>
    <row r="26" spans="2:14" ht="16.5" x14ac:dyDescent="0.3">
      <c r="B26" s="38" t="s">
        <v>20</v>
      </c>
      <c r="C26" s="39">
        <f>C14*1.2</f>
        <v>413.18399999999997</v>
      </c>
      <c r="D26" s="39">
        <f>D14*40%</f>
        <v>447.6</v>
      </c>
      <c r="E26" s="39">
        <f>C26+D26</f>
        <v>860.78399999999999</v>
      </c>
      <c r="L26" s="29" t="s">
        <v>44</v>
      </c>
      <c r="M26" s="30">
        <v>791.92</v>
      </c>
      <c r="N26" s="17"/>
    </row>
    <row r="27" spans="2:14" ht="16.5" x14ac:dyDescent="0.3">
      <c r="B27" t="s">
        <v>21</v>
      </c>
      <c r="C27" s="1">
        <f>C15*1.2</f>
        <v>413.18399999999997</v>
      </c>
      <c r="D27" s="1">
        <f>D15*40%</f>
        <v>447.6</v>
      </c>
      <c r="E27" s="1">
        <f>C27+D27</f>
        <v>860.78399999999999</v>
      </c>
      <c r="L27" s="16" t="s">
        <v>33</v>
      </c>
      <c r="M27" s="19">
        <v>7200</v>
      </c>
      <c r="N27" s="17"/>
    </row>
    <row r="28" spans="2:14" ht="16.5" x14ac:dyDescent="0.3">
      <c r="B28" t="s">
        <v>22</v>
      </c>
      <c r="C28" s="1">
        <f>C16*1.2</f>
        <v>202.75200000000001</v>
      </c>
      <c r="D28" s="1">
        <f>D16*40%</f>
        <v>219.60000000000002</v>
      </c>
      <c r="E28" s="1">
        <f>D28+C28</f>
        <v>422.35200000000003</v>
      </c>
      <c r="L28" s="16" t="s">
        <v>34</v>
      </c>
      <c r="M28" s="21">
        <f>M27*M26</f>
        <v>5701824</v>
      </c>
      <c r="N28" s="17"/>
    </row>
    <row r="29" spans="2:14" ht="16.5" x14ac:dyDescent="0.3">
      <c r="B29" t="s">
        <v>23</v>
      </c>
      <c r="C29" s="1">
        <f>C17*1.2</f>
        <v>202.75200000000001</v>
      </c>
      <c r="D29" s="1">
        <f>D17*40%</f>
        <v>219.60000000000002</v>
      </c>
      <c r="E29" s="1">
        <f>D29+C29</f>
        <v>422.35200000000003</v>
      </c>
      <c r="L29" s="25" t="s">
        <v>35</v>
      </c>
      <c r="M29" s="26">
        <f>M28-M25</f>
        <v>5388324</v>
      </c>
      <c r="N29" s="27"/>
    </row>
    <row r="30" spans="2:14" ht="16.5" x14ac:dyDescent="0.3">
      <c r="B30" t="s">
        <v>9</v>
      </c>
      <c r="C30" s="1">
        <f>C18*1.2</f>
        <v>413.18399999999997</v>
      </c>
      <c r="D30" s="1">
        <f>D18*40%</f>
        <v>447.6</v>
      </c>
      <c r="E30" s="1">
        <f>C30+D30</f>
        <v>860.78399999999999</v>
      </c>
      <c r="L30" s="25" t="s">
        <v>36</v>
      </c>
      <c r="M30" s="26">
        <f>M29*0.9</f>
        <v>4849491.6000000006</v>
      </c>
      <c r="N30" s="17"/>
    </row>
    <row r="31" spans="2:14" ht="16.5" x14ac:dyDescent="0.3">
      <c r="L31" s="25" t="s">
        <v>37</v>
      </c>
      <c r="M31" s="28">
        <f>M29*0.8</f>
        <v>4310659.2</v>
      </c>
      <c r="N31" s="17"/>
    </row>
    <row r="32" spans="2:14" ht="16.5" x14ac:dyDescent="0.3">
      <c r="B32" s="38">
        <v>211</v>
      </c>
      <c r="L32" s="25" t="s">
        <v>38</v>
      </c>
      <c r="M32" s="26">
        <f>M29*0.03/12</f>
        <v>13470.81</v>
      </c>
      <c r="N32" s="17"/>
    </row>
    <row r="33" spans="12:14" ht="15.75" x14ac:dyDescent="0.25">
      <c r="L33" s="32"/>
      <c r="M33" s="32"/>
      <c r="N33" s="33"/>
    </row>
    <row r="34" spans="12:14" ht="15.75" x14ac:dyDescent="0.25">
      <c r="L34" s="32"/>
      <c r="M34" s="32"/>
      <c r="N34" s="34"/>
    </row>
    <row r="36" spans="12:14" ht="16.5" x14ac:dyDescent="0.3">
      <c r="L36" s="15" t="s">
        <v>24</v>
      </c>
      <c r="M36" s="16"/>
    </row>
    <row r="37" spans="12:14" ht="16.5" x14ac:dyDescent="0.3">
      <c r="L37" s="15" t="s">
        <v>25</v>
      </c>
      <c r="M37" s="16">
        <v>2024</v>
      </c>
    </row>
    <row r="38" spans="12:14" ht="16.5" x14ac:dyDescent="0.3">
      <c r="L38" s="18" t="s">
        <v>26</v>
      </c>
      <c r="M38" s="19">
        <v>2014</v>
      </c>
    </row>
    <row r="39" spans="12:14" ht="16.5" x14ac:dyDescent="0.3">
      <c r="L39" s="20" t="s">
        <v>27</v>
      </c>
      <c r="M39" s="19">
        <f>M37-M38</f>
        <v>10</v>
      </c>
    </row>
    <row r="40" spans="12:14" ht="16.5" x14ac:dyDescent="0.3">
      <c r="L40" s="16"/>
      <c r="M40" s="19">
        <f>M39-60</f>
        <v>-50</v>
      </c>
    </row>
    <row r="41" spans="12:14" ht="16.5" x14ac:dyDescent="0.3">
      <c r="L41" s="16" t="s">
        <v>28</v>
      </c>
      <c r="M41" s="21">
        <f>950*2200</f>
        <v>2090000</v>
      </c>
    </row>
    <row r="42" spans="12:14" ht="16.5" x14ac:dyDescent="0.3">
      <c r="L42" s="16" t="s">
        <v>29</v>
      </c>
      <c r="M42" s="19"/>
    </row>
    <row r="43" spans="12:14" ht="16.5" x14ac:dyDescent="0.3">
      <c r="L43" s="16"/>
      <c r="M43" s="19"/>
    </row>
    <row r="44" spans="12:14" ht="16.5" x14ac:dyDescent="0.3">
      <c r="L44" s="16" t="s">
        <v>30</v>
      </c>
      <c r="M44" s="22">
        <f>100-10</f>
        <v>90</v>
      </c>
    </row>
    <row r="45" spans="12:14" ht="16.5" x14ac:dyDescent="0.3">
      <c r="L45" s="15" t="s">
        <v>31</v>
      </c>
      <c r="M45" s="19">
        <f>M44*10/60</f>
        <v>15</v>
      </c>
    </row>
    <row r="46" spans="12:14" ht="16.5" x14ac:dyDescent="0.3">
      <c r="L46" s="15"/>
      <c r="M46" s="23">
        <f>M45%</f>
        <v>0.15</v>
      </c>
    </row>
    <row r="47" spans="12:14" ht="16.5" x14ac:dyDescent="0.3">
      <c r="L47" s="15" t="s">
        <v>32</v>
      </c>
      <c r="M47" s="24">
        <f>ROUND((M41*M46),0)</f>
        <v>313500</v>
      </c>
    </row>
    <row r="48" spans="12:14" ht="16.5" x14ac:dyDescent="0.3">
      <c r="L48" s="29" t="s">
        <v>45</v>
      </c>
      <c r="M48" s="30">
        <v>791.92</v>
      </c>
    </row>
    <row r="49" spans="12:13" ht="16.5" x14ac:dyDescent="0.3">
      <c r="L49" s="16" t="s">
        <v>33</v>
      </c>
      <c r="M49" s="19">
        <v>7200</v>
      </c>
    </row>
    <row r="50" spans="12:13" ht="16.5" x14ac:dyDescent="0.3">
      <c r="L50" s="16" t="s">
        <v>34</v>
      </c>
      <c r="M50" s="21">
        <f>M49*M48</f>
        <v>5701824</v>
      </c>
    </row>
    <row r="51" spans="12:13" ht="16.5" x14ac:dyDescent="0.3">
      <c r="L51" s="25" t="s">
        <v>35</v>
      </c>
      <c r="M51" s="26">
        <f>M50-M47</f>
        <v>5388324</v>
      </c>
    </row>
    <row r="52" spans="12:13" ht="16.5" x14ac:dyDescent="0.3">
      <c r="L52" s="25" t="s">
        <v>36</v>
      </c>
      <c r="M52" s="26">
        <f>M51*0.9</f>
        <v>4849491.6000000006</v>
      </c>
    </row>
    <row r="53" spans="12:13" ht="16.5" x14ac:dyDescent="0.3">
      <c r="L53" s="25" t="s">
        <v>37</v>
      </c>
      <c r="M53" s="28">
        <f>M51*0.8</f>
        <v>4310659.2</v>
      </c>
    </row>
    <row r="54" spans="12:13" ht="16.5" x14ac:dyDescent="0.3">
      <c r="L54" s="25" t="s">
        <v>38</v>
      </c>
      <c r="M54" s="26">
        <f>M51*0.03/12</f>
        <v>13470.81</v>
      </c>
    </row>
    <row r="57" spans="12:13" ht="16.5" x14ac:dyDescent="0.3">
      <c r="L57" s="15" t="s">
        <v>24</v>
      </c>
      <c r="M57" s="16"/>
    </row>
    <row r="58" spans="12:13" ht="16.5" x14ac:dyDescent="0.3">
      <c r="L58" s="15" t="s">
        <v>25</v>
      </c>
      <c r="M58" s="16">
        <v>2024</v>
      </c>
    </row>
    <row r="59" spans="12:13" ht="16.5" x14ac:dyDescent="0.3">
      <c r="L59" s="18" t="s">
        <v>26</v>
      </c>
      <c r="M59" s="19">
        <v>2014</v>
      </c>
    </row>
    <row r="60" spans="12:13" ht="16.5" x14ac:dyDescent="0.3">
      <c r="L60" s="20" t="s">
        <v>27</v>
      </c>
      <c r="M60" s="19">
        <f>M58-M59</f>
        <v>10</v>
      </c>
    </row>
    <row r="61" spans="12:13" ht="16.5" x14ac:dyDescent="0.3">
      <c r="L61" s="16"/>
      <c r="M61" s="19">
        <f>M60-60</f>
        <v>-50</v>
      </c>
    </row>
    <row r="62" spans="12:13" ht="16.5" x14ac:dyDescent="0.3">
      <c r="L62" s="16" t="s">
        <v>28</v>
      </c>
      <c r="M62" s="21">
        <f>466*2200</f>
        <v>1025200</v>
      </c>
    </row>
    <row r="63" spans="12:13" ht="16.5" x14ac:dyDescent="0.3">
      <c r="L63" s="16" t="s">
        <v>29</v>
      </c>
      <c r="M63" s="19"/>
    </row>
    <row r="64" spans="12:13" ht="16.5" x14ac:dyDescent="0.3">
      <c r="L64" s="16"/>
      <c r="M64" s="19"/>
    </row>
    <row r="65" spans="12:13" ht="16.5" x14ac:dyDescent="0.3">
      <c r="L65" s="16" t="s">
        <v>30</v>
      </c>
      <c r="M65" s="22">
        <f>100-10</f>
        <v>90</v>
      </c>
    </row>
    <row r="66" spans="12:13" ht="16.5" x14ac:dyDescent="0.3">
      <c r="L66" s="15" t="s">
        <v>31</v>
      </c>
      <c r="M66" s="19">
        <f>M65*10/60</f>
        <v>15</v>
      </c>
    </row>
    <row r="67" spans="12:13" ht="16.5" x14ac:dyDescent="0.3">
      <c r="L67" s="15"/>
      <c r="M67" s="23">
        <f>M66%</f>
        <v>0.15</v>
      </c>
    </row>
    <row r="68" spans="12:13" ht="16.5" x14ac:dyDescent="0.3">
      <c r="L68" s="15" t="s">
        <v>32</v>
      </c>
      <c r="M68" s="24">
        <f>ROUND((M62*M67),0)</f>
        <v>153780</v>
      </c>
    </row>
    <row r="69" spans="12:13" ht="16.5" x14ac:dyDescent="0.3">
      <c r="L69" s="29" t="s">
        <v>46</v>
      </c>
      <c r="M69" s="30">
        <v>388.56</v>
      </c>
    </row>
    <row r="70" spans="12:13" ht="16.5" x14ac:dyDescent="0.3">
      <c r="L70" s="16" t="s">
        <v>33</v>
      </c>
      <c r="M70" s="19">
        <v>7200</v>
      </c>
    </row>
    <row r="71" spans="12:13" ht="16.5" x14ac:dyDescent="0.3">
      <c r="L71" s="16" t="s">
        <v>34</v>
      </c>
      <c r="M71" s="21">
        <f>M70*M69</f>
        <v>2797632</v>
      </c>
    </row>
    <row r="72" spans="12:13" ht="16.5" x14ac:dyDescent="0.3">
      <c r="L72" s="25" t="s">
        <v>35</v>
      </c>
      <c r="M72" s="26">
        <f>M71-M68</f>
        <v>2643852</v>
      </c>
    </row>
    <row r="73" spans="12:13" ht="16.5" x14ac:dyDescent="0.3">
      <c r="L73" s="25" t="s">
        <v>36</v>
      </c>
      <c r="M73" s="26">
        <f>M72*0.9</f>
        <v>2379466.8000000003</v>
      </c>
    </row>
    <row r="74" spans="12:13" ht="16.5" x14ac:dyDescent="0.3">
      <c r="L74" s="25" t="s">
        <v>37</v>
      </c>
      <c r="M74" s="28">
        <f>M72*0.8</f>
        <v>2115081.6</v>
      </c>
    </row>
    <row r="75" spans="12:13" ht="16.5" x14ac:dyDescent="0.3">
      <c r="L75" s="25" t="s">
        <v>38</v>
      </c>
      <c r="M75" s="26">
        <f>M72*0.03/12</f>
        <v>6609.63</v>
      </c>
    </row>
    <row r="78" spans="12:13" ht="16.5" x14ac:dyDescent="0.3">
      <c r="L78" s="15" t="s">
        <v>24</v>
      </c>
      <c r="M78" s="16"/>
    </row>
    <row r="79" spans="12:13" ht="16.5" x14ac:dyDescent="0.3">
      <c r="L79" s="15" t="s">
        <v>25</v>
      </c>
      <c r="M79" s="16">
        <v>2024</v>
      </c>
    </row>
    <row r="80" spans="12:13" ht="16.5" x14ac:dyDescent="0.3">
      <c r="L80" s="18" t="s">
        <v>26</v>
      </c>
      <c r="M80" s="19">
        <v>2014</v>
      </c>
    </row>
    <row r="81" spans="12:13" ht="16.5" x14ac:dyDescent="0.3">
      <c r="L81" s="20" t="s">
        <v>27</v>
      </c>
      <c r="M81" s="19">
        <f>M79-M80</f>
        <v>10</v>
      </c>
    </row>
    <row r="82" spans="12:13" ht="16.5" x14ac:dyDescent="0.3">
      <c r="L82" s="16"/>
      <c r="M82" s="19">
        <f>M81-60</f>
        <v>-50</v>
      </c>
    </row>
    <row r="83" spans="12:13" ht="16.5" x14ac:dyDescent="0.3">
      <c r="L83" s="16" t="s">
        <v>28</v>
      </c>
      <c r="M83" s="21">
        <f>466*2200</f>
        <v>1025200</v>
      </c>
    </row>
    <row r="84" spans="12:13" ht="16.5" x14ac:dyDescent="0.3">
      <c r="L84" s="16" t="s">
        <v>29</v>
      </c>
      <c r="M84" s="19"/>
    </row>
    <row r="85" spans="12:13" ht="16.5" x14ac:dyDescent="0.3">
      <c r="L85" s="16"/>
      <c r="M85" s="19"/>
    </row>
    <row r="86" spans="12:13" ht="16.5" x14ac:dyDescent="0.3">
      <c r="L86" s="16" t="s">
        <v>30</v>
      </c>
      <c r="M86" s="22">
        <f>100-10</f>
        <v>90</v>
      </c>
    </row>
    <row r="87" spans="12:13" ht="16.5" x14ac:dyDescent="0.3">
      <c r="L87" s="15" t="s">
        <v>31</v>
      </c>
      <c r="M87" s="19">
        <f>M86*10/60</f>
        <v>15</v>
      </c>
    </row>
    <row r="88" spans="12:13" ht="16.5" x14ac:dyDescent="0.3">
      <c r="L88" s="15"/>
      <c r="M88" s="23">
        <f>M87%</f>
        <v>0.15</v>
      </c>
    </row>
    <row r="89" spans="12:13" ht="16.5" x14ac:dyDescent="0.3">
      <c r="L89" s="15" t="s">
        <v>32</v>
      </c>
      <c r="M89" s="24">
        <f>ROUND((M83*M88),0)</f>
        <v>153780</v>
      </c>
    </row>
    <row r="90" spans="12:13" ht="16.5" x14ac:dyDescent="0.3">
      <c r="L90" s="29" t="s">
        <v>47</v>
      </c>
      <c r="M90" s="30">
        <v>388.56</v>
      </c>
    </row>
    <row r="91" spans="12:13" ht="16.5" x14ac:dyDescent="0.3">
      <c r="L91" s="16" t="s">
        <v>33</v>
      </c>
      <c r="M91" s="19">
        <v>7200</v>
      </c>
    </row>
    <row r="92" spans="12:13" ht="16.5" x14ac:dyDescent="0.3">
      <c r="L92" s="16" t="s">
        <v>34</v>
      </c>
      <c r="M92" s="21">
        <f>M91*M90</f>
        <v>2797632</v>
      </c>
    </row>
    <row r="93" spans="12:13" ht="16.5" x14ac:dyDescent="0.3">
      <c r="L93" s="25" t="s">
        <v>35</v>
      </c>
      <c r="M93" s="26">
        <f>M92-M89</f>
        <v>2643852</v>
      </c>
    </row>
    <row r="94" spans="12:13" ht="16.5" x14ac:dyDescent="0.3">
      <c r="L94" s="25" t="s">
        <v>36</v>
      </c>
      <c r="M94" s="26">
        <f>M93*0.9</f>
        <v>2379466.8000000003</v>
      </c>
    </row>
    <row r="95" spans="12:13" ht="16.5" x14ac:dyDescent="0.3">
      <c r="L95" s="25" t="s">
        <v>37</v>
      </c>
      <c r="M95" s="28">
        <f>M93*0.8</f>
        <v>2115081.6</v>
      </c>
    </row>
    <row r="96" spans="12:13" ht="16.5" x14ac:dyDescent="0.3">
      <c r="L96" s="25" t="s">
        <v>38</v>
      </c>
      <c r="M96" s="26">
        <f>M93*0.03/12</f>
        <v>6609.63</v>
      </c>
    </row>
    <row r="99" spans="12:15" ht="16.5" x14ac:dyDescent="0.3">
      <c r="L99" s="15" t="s">
        <v>24</v>
      </c>
      <c r="M99" s="16"/>
    </row>
    <row r="100" spans="12:15" ht="16.5" x14ac:dyDescent="0.3">
      <c r="L100" s="15" t="s">
        <v>25</v>
      </c>
      <c r="M100" s="16">
        <v>2024</v>
      </c>
    </row>
    <row r="101" spans="12:15" ht="16.5" x14ac:dyDescent="0.3">
      <c r="L101" s="18" t="s">
        <v>26</v>
      </c>
      <c r="M101" s="19">
        <v>2014</v>
      </c>
    </row>
    <row r="102" spans="12:15" ht="16.5" x14ac:dyDescent="0.3">
      <c r="L102" s="20" t="s">
        <v>27</v>
      </c>
      <c r="M102" s="19">
        <f>M100-M101</f>
        <v>10</v>
      </c>
    </row>
    <row r="103" spans="12:15" ht="16.5" x14ac:dyDescent="0.3">
      <c r="L103" s="16"/>
      <c r="M103" s="19">
        <f>M102-60</f>
        <v>-50</v>
      </c>
    </row>
    <row r="104" spans="12:15" ht="16.5" x14ac:dyDescent="0.3">
      <c r="L104" s="16" t="s">
        <v>28</v>
      </c>
      <c r="M104" s="21">
        <f>950*2200</f>
        <v>2090000</v>
      </c>
    </row>
    <row r="105" spans="12:15" ht="16.5" x14ac:dyDescent="0.3">
      <c r="L105" s="16" t="s">
        <v>29</v>
      </c>
      <c r="M105" s="19"/>
    </row>
    <row r="106" spans="12:15" ht="16.5" x14ac:dyDescent="0.3">
      <c r="L106" s="16"/>
      <c r="M106" s="19"/>
    </row>
    <row r="107" spans="12:15" ht="16.5" x14ac:dyDescent="0.3">
      <c r="L107" s="16" t="s">
        <v>30</v>
      </c>
      <c r="M107" s="22">
        <f>100-10</f>
        <v>90</v>
      </c>
    </row>
    <row r="108" spans="12:15" ht="16.5" x14ac:dyDescent="0.3">
      <c r="L108" s="15" t="s">
        <v>31</v>
      </c>
      <c r="M108" s="19">
        <f>M107*10/60</f>
        <v>15</v>
      </c>
    </row>
    <row r="109" spans="12:15" ht="16.5" x14ac:dyDescent="0.3">
      <c r="L109" s="15"/>
      <c r="M109" s="23">
        <f>M108%</f>
        <v>0.15</v>
      </c>
    </row>
    <row r="110" spans="12:15" ht="16.5" x14ac:dyDescent="0.3">
      <c r="L110" s="15" t="s">
        <v>32</v>
      </c>
      <c r="M110" s="24">
        <f>ROUND((M104*M109),0)</f>
        <v>313500</v>
      </c>
      <c r="O110" s="31"/>
    </row>
    <row r="111" spans="12:15" ht="16.5" x14ac:dyDescent="0.3">
      <c r="L111" s="29" t="s">
        <v>48</v>
      </c>
      <c r="M111" s="30">
        <v>791.92</v>
      </c>
    </row>
    <row r="112" spans="12:15" ht="16.5" x14ac:dyDescent="0.3">
      <c r="L112" s="16" t="s">
        <v>33</v>
      </c>
      <c r="M112" s="19">
        <v>7200</v>
      </c>
    </row>
    <row r="113" spans="12:13" ht="16.5" x14ac:dyDescent="0.3">
      <c r="L113" s="16" t="s">
        <v>34</v>
      </c>
      <c r="M113" s="21">
        <f>M112*M111</f>
        <v>5701824</v>
      </c>
    </row>
    <row r="114" spans="12:13" ht="16.5" x14ac:dyDescent="0.3">
      <c r="L114" s="25" t="s">
        <v>35</v>
      </c>
      <c r="M114" s="26">
        <f>M113-M110</f>
        <v>5388324</v>
      </c>
    </row>
    <row r="115" spans="12:13" ht="16.5" x14ac:dyDescent="0.3">
      <c r="L115" s="25" t="s">
        <v>36</v>
      </c>
      <c r="M115" s="26">
        <f>M114*0.9</f>
        <v>4849491.6000000006</v>
      </c>
    </row>
    <row r="116" spans="12:13" ht="16.5" x14ac:dyDescent="0.3">
      <c r="L116" s="25" t="s">
        <v>37</v>
      </c>
      <c r="M116" s="28">
        <f>M114*0.8</f>
        <v>4310659.2</v>
      </c>
    </row>
    <row r="117" spans="12:13" ht="16.5" x14ac:dyDescent="0.3">
      <c r="L117" s="25" t="s">
        <v>38</v>
      </c>
      <c r="M117" s="26">
        <f>M114*0.03/12</f>
        <v>13470.81</v>
      </c>
    </row>
  </sheetData>
  <mergeCells count="2">
    <mergeCell ref="B10:D10"/>
    <mergeCell ref="B20:D20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11"/>
  <sheetViews>
    <sheetView topLeftCell="A7" workbookViewId="0">
      <selection activeCell="Y12" sqref="Y12"/>
    </sheetView>
  </sheetViews>
  <sheetFormatPr defaultRowHeight="15" x14ac:dyDescent="0.25"/>
  <sheetData>
    <row r="11" spans="25:25" x14ac:dyDescent="0.25">
      <c r="Y11">
        <f>8500000/680</f>
        <v>12500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8:U10"/>
  <sheetViews>
    <sheetView workbookViewId="0">
      <selection activeCell="V18" sqref="V18"/>
    </sheetView>
  </sheetViews>
  <sheetFormatPr defaultRowHeight="15" x14ac:dyDescent="0.25"/>
  <sheetData>
    <row r="8" spans="20:21" x14ac:dyDescent="0.25">
      <c r="T8">
        <f>85000000/9000</f>
        <v>9444.4444444444453</v>
      </c>
    </row>
    <row r="10" spans="20:21" x14ac:dyDescent="0.25">
      <c r="T10">
        <f>T8/1.4</f>
        <v>6746.0317460317474</v>
      </c>
      <c r="U10" t="s">
        <v>40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0:V12"/>
  <sheetViews>
    <sheetView workbookViewId="0">
      <selection activeCell="V19" sqref="V19"/>
    </sheetView>
  </sheetViews>
  <sheetFormatPr defaultRowHeight="15" x14ac:dyDescent="0.25"/>
  <sheetData>
    <row r="10" spans="21:22" x14ac:dyDescent="0.25">
      <c r="U10">
        <f>160000000/16000</f>
        <v>10000</v>
      </c>
    </row>
    <row r="12" spans="21:22" x14ac:dyDescent="0.25">
      <c r="U12">
        <f>U10/1.4</f>
        <v>7142.8571428571431</v>
      </c>
      <c r="V12" t="s">
        <v>41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13:X13"/>
  <sheetViews>
    <sheetView workbookViewId="0">
      <selection activeCell="X21" sqref="X21"/>
    </sheetView>
  </sheetViews>
  <sheetFormatPr defaultRowHeight="15" x14ac:dyDescent="0.25"/>
  <sheetData>
    <row r="13" spans="23:24" x14ac:dyDescent="0.25">
      <c r="W13">
        <f>85000000/9000</f>
        <v>9444.4444444444453</v>
      </c>
      <c r="X13" t="s">
        <v>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12:Z12"/>
  <sheetViews>
    <sheetView workbookViewId="0">
      <selection activeCell="Z21" sqref="Z21"/>
    </sheetView>
  </sheetViews>
  <sheetFormatPr defaultRowHeight="15" x14ac:dyDescent="0.25"/>
  <sheetData>
    <row r="12" spans="25:26" x14ac:dyDescent="0.25">
      <c r="Y12">
        <f>160000000/16000</f>
        <v>10000</v>
      </c>
      <c r="Z12" t="s">
        <v>43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DESK-28 VASTUKALA</dc:creator>
  <cp:lastModifiedBy>DESK-28 VASTUKALA</cp:lastModifiedBy>
  <dcterms:created xsi:type="dcterms:W3CDTF">2024-02-09T07:26:42Z</dcterms:created>
  <dcterms:modified xsi:type="dcterms:W3CDTF">2024-02-20T07:03:14Z</dcterms:modified>
</cp:coreProperties>
</file>