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defaultThemeVersion="124226"/>
  <xr:revisionPtr revIDLastSave="0" documentId="8_{F738FEE7-58FF-4E92-B75A-6E77427E311C}" xr6:coauthVersionLast="47" xr6:coauthVersionMax="47" xr10:uidLastSave="{00000000-0000-0000-0000-000000000000}"/>
  <bookViews>
    <workbookView xWindow="-110" yWindow="-110" windowWidth="25820" windowHeight="15500" tabRatio="965" xr2:uid="{00000000-000D-0000-FFFF-FFFF00000000}"/>
  </bookViews>
  <sheets>
    <sheet name="Funding Requirement" sheetId="20" r:id="rId1"/>
    <sheet name="Project Cost &amp; Capital Expendit" sheetId="10" r:id="rId2"/>
    <sheet name="Bank Funding Margins" sheetId="69" r:id="rId3"/>
    <sheet name="Project BS P2 " sheetId="77" r:id="rId4"/>
    <sheet name="Project PL  P2" sheetId="78" r:id="rId5"/>
    <sheet name="Production, Revenue &amp; Profi P2" sheetId="79" r:id="rId6"/>
    <sheet name="Utilities-1 P2" sheetId="80" r:id="rId7"/>
    <sheet name="Depreciation Chart - Eco Gr P2" sheetId="81" r:id="rId8"/>
    <sheet name="Human Resource P2" sheetId="82" r:id="rId9"/>
    <sheet name="TL 2" sheetId="76" r:id="rId10"/>
    <sheet name="Ratio Analysis P2" sheetId="83" r:id="rId11"/>
    <sheet name="Project BS" sheetId="50" r:id="rId12"/>
    <sheet name="Project PL " sheetId="3" r:id="rId13"/>
    <sheet name="Production, Revenue &amp; Profit" sheetId="64" r:id="rId14"/>
    <sheet name="Utilities-1" sheetId="51" r:id="rId15"/>
    <sheet name="Depreciation Chart - Eco Green" sheetId="70" r:id="rId16"/>
    <sheet name="Human Resource" sheetId="65" r:id="rId17"/>
    <sheet name="TL 1 " sheetId="44" r:id="rId18"/>
    <sheet name="Ratio Analysis" sheetId="75" r:id="rId19"/>
    <sheet name="Project BS Combined" sheetId="84" r:id="rId20"/>
    <sheet name="Project PL  Combined" sheetId="85" r:id="rId21"/>
    <sheet name="Ratio Analysis Combined" sheetId="86" r:id="rId22"/>
    <sheet name="CMA Format Combined" sheetId="87"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0" localSheetId="2">'[1]#exist'!#REF!</definedName>
    <definedName name="\0" localSheetId="22">'[1]#exist'!#REF!</definedName>
    <definedName name="\0" localSheetId="7">'[1]#exist'!#REF!</definedName>
    <definedName name="\0" localSheetId="15">'[1]#exist'!#REF!</definedName>
    <definedName name="\0" localSheetId="5">'[1]#exist'!#REF!</definedName>
    <definedName name="\0" localSheetId="13">'[1]#exist'!#REF!</definedName>
    <definedName name="\0" localSheetId="11">'[1]#exist'!#REF!</definedName>
    <definedName name="\0" localSheetId="19">'[1]#exist'!#REF!</definedName>
    <definedName name="\0" localSheetId="3">'[1]#exist'!#REF!</definedName>
    <definedName name="\0">'[1]#exist'!#REF!</definedName>
    <definedName name="\a" localSheetId="2">#REF!</definedName>
    <definedName name="\a" localSheetId="7">#REF!</definedName>
    <definedName name="\a" localSheetId="15">#REF!</definedName>
    <definedName name="\a" localSheetId="0">#REF!</definedName>
    <definedName name="\a" localSheetId="5">#REF!</definedName>
    <definedName name="\a" localSheetId="13">#REF!</definedName>
    <definedName name="\a" localSheetId="11">#REF!</definedName>
    <definedName name="\a" localSheetId="19">#REF!</definedName>
    <definedName name="\a" localSheetId="3">#REF!</definedName>
    <definedName name="\a">#REF!</definedName>
    <definedName name="\B" localSheetId="2">#REF!</definedName>
    <definedName name="\B">#REF!</definedName>
    <definedName name="\C" localSheetId="2">#REF!</definedName>
    <definedName name="\C">#REF!</definedName>
    <definedName name="\d">#N/A</definedName>
    <definedName name="\e">#N/A</definedName>
    <definedName name="\F" localSheetId="2">#REF!</definedName>
    <definedName name="\F" localSheetId="22">#REF!</definedName>
    <definedName name="\F">#REF!</definedName>
    <definedName name="\G">#N/A</definedName>
    <definedName name="\L" localSheetId="16">#REF!</definedName>
    <definedName name="\L" localSheetId="8">#REF!</definedName>
    <definedName name="\L">#N/A</definedName>
    <definedName name="\m" localSheetId="2">'[1]#exist'!#REF!</definedName>
    <definedName name="\m" localSheetId="7">'[1]#exist'!#REF!</definedName>
    <definedName name="\m" localSheetId="15">'[1]#exist'!#REF!</definedName>
    <definedName name="\m" localSheetId="5">'[1]#exist'!#REF!</definedName>
    <definedName name="\m" localSheetId="13">'[1]#exist'!#REF!</definedName>
    <definedName name="\m" localSheetId="11">'[1]#exist'!#REF!</definedName>
    <definedName name="\m" localSheetId="19">'[1]#exist'!#REF!</definedName>
    <definedName name="\m" localSheetId="3">'[1]#exist'!#REF!</definedName>
    <definedName name="\m">'[1]#exist'!#REF!</definedName>
    <definedName name="\P" localSheetId="2">#REF!</definedName>
    <definedName name="\P" localSheetId="22">#REF!</definedName>
    <definedName name="\P">#REF!</definedName>
    <definedName name="\Q" localSheetId="2">#REF!</definedName>
    <definedName name="\Q" localSheetId="22">#REF!</definedName>
    <definedName name="\Q">#REF!</definedName>
    <definedName name="\R" localSheetId="2">#REF!</definedName>
    <definedName name="\R" localSheetId="22">#REF!</definedName>
    <definedName name="\R">#REF!</definedName>
    <definedName name="\S" localSheetId="2">#REF!</definedName>
    <definedName name="\S">#REF!</definedName>
    <definedName name="\TSL">#N/A</definedName>
    <definedName name="\U" localSheetId="16">#REF!</definedName>
    <definedName name="\U" localSheetId="8">#REF!</definedName>
    <definedName name="\U">#N/A</definedName>
    <definedName name="\x">#N/A</definedName>
    <definedName name="\Z">#N/A</definedName>
    <definedName name="_???">#N/A</definedName>
    <definedName name="_??????">#N/A</definedName>
    <definedName name="_?????????">#N/A</definedName>
    <definedName name="_????????_??">#N/A</definedName>
    <definedName name="_???????2">#N/A</definedName>
    <definedName name="_??????_?????">#N/A</definedName>
    <definedName name="_??????_?????_?????????">#N/A</definedName>
    <definedName name="_?????_?????">#N/A</definedName>
    <definedName name="_?????_??????">#N/A</definedName>
    <definedName name="_?????_???????_??????">#N/A</definedName>
    <definedName name="_?????_1997">#N/A</definedName>
    <definedName name="_????_???????">#N/A</definedName>
    <definedName name="_????_????_???????_??_1996">#N/A</definedName>
    <definedName name="_????_????_97">#N/A</definedName>
    <definedName name="_???_??">#N/A</definedName>
    <definedName name="_________________pl18" localSheetId="2">'[2]P&amp;L'!#REF!</definedName>
    <definedName name="_________________pl18" localSheetId="7">'[2]P&amp;L'!#REF!</definedName>
    <definedName name="_________________pl18" localSheetId="15">'[2]P&amp;L'!#REF!</definedName>
    <definedName name="_________________pl18" localSheetId="5">'[2]P&amp;L'!#REF!</definedName>
    <definedName name="_________________pl18" localSheetId="13">'[2]P&amp;L'!#REF!</definedName>
    <definedName name="_________________pl18" localSheetId="11">'[2]P&amp;L'!#REF!</definedName>
    <definedName name="_________________pl18" localSheetId="19">'[2]P&amp;L'!#REF!</definedName>
    <definedName name="_________________pl18" localSheetId="3">'[2]P&amp;L'!#REF!</definedName>
    <definedName name="_________________pl18">'[2]P&amp;L'!#REF!</definedName>
    <definedName name="________________b69000" localSheetId="2">#REF!</definedName>
    <definedName name="________________b69000" localSheetId="7">#REF!</definedName>
    <definedName name="________________b69000" localSheetId="15">#REF!</definedName>
    <definedName name="________________b69000" localSheetId="0">#REF!</definedName>
    <definedName name="________________b69000" localSheetId="5">#REF!</definedName>
    <definedName name="________________b69000" localSheetId="13">#REF!</definedName>
    <definedName name="________________b69000" localSheetId="11">#REF!</definedName>
    <definedName name="________________b69000" localSheetId="19">#REF!</definedName>
    <definedName name="________________b69000" localSheetId="3">#REF!</definedName>
    <definedName name="________________b69000">#REF!</definedName>
    <definedName name="________________CMA1" localSheetId="2">#REF!</definedName>
    <definedName name="________________CMA1" localSheetId="7">#REF!</definedName>
    <definedName name="________________CMA1" localSheetId="15">#REF!</definedName>
    <definedName name="________________CMA1" localSheetId="5">#REF!</definedName>
    <definedName name="________________CMA1" localSheetId="13">#REF!</definedName>
    <definedName name="________________CMA1" localSheetId="11">#REF!</definedName>
    <definedName name="________________CMA1" localSheetId="19">#REF!</definedName>
    <definedName name="________________CMA1" localSheetId="3">#REF!</definedName>
    <definedName name="________________CMA1">#REF!</definedName>
    <definedName name="________________pl18" localSheetId="2">'[3]P&amp;L'!#REF!</definedName>
    <definedName name="________________pl18" localSheetId="7">'[3]P&amp;L'!#REF!</definedName>
    <definedName name="________________pl18" localSheetId="15">'[3]P&amp;L'!#REF!</definedName>
    <definedName name="________________pl18" localSheetId="0">'[3]P&amp;L'!#REF!</definedName>
    <definedName name="________________pl18" localSheetId="5">'[3]P&amp;L'!#REF!</definedName>
    <definedName name="________________pl18" localSheetId="13">'[3]P&amp;L'!#REF!</definedName>
    <definedName name="________________pl18" localSheetId="11">'[3]P&amp;L'!#REF!</definedName>
    <definedName name="________________pl18" localSheetId="19">'[3]P&amp;L'!#REF!</definedName>
    <definedName name="________________pl18" localSheetId="3">'[3]P&amp;L'!#REF!</definedName>
    <definedName name="________________pl18">'[3]P&amp;L'!#REF!</definedName>
    <definedName name="________________pl19" localSheetId="2">'[4]P&amp;L'!#REF!</definedName>
    <definedName name="________________pl19" localSheetId="7">'[4]P&amp;L'!#REF!</definedName>
    <definedName name="________________pl19" localSheetId="15">'[4]P&amp;L'!#REF!</definedName>
    <definedName name="________________pl19" localSheetId="0">'[4]P&amp;L'!#REF!</definedName>
    <definedName name="________________pl19" localSheetId="5">'[4]P&amp;L'!#REF!</definedName>
    <definedName name="________________pl19" localSheetId="13">'[4]P&amp;L'!#REF!</definedName>
    <definedName name="________________pl19" localSheetId="11">'[4]P&amp;L'!#REF!</definedName>
    <definedName name="________________pl19" localSheetId="19">'[4]P&amp;L'!#REF!</definedName>
    <definedName name="________________pl19" localSheetId="3">'[4]P&amp;L'!#REF!</definedName>
    <definedName name="________________pl19">'[4]P&amp;L'!#REF!</definedName>
    <definedName name="________________RM1" localSheetId="2">#REF!</definedName>
    <definedName name="________________RM1" localSheetId="7">#REF!</definedName>
    <definedName name="________________RM1" localSheetId="15">#REF!</definedName>
    <definedName name="________________RM1" localSheetId="0">#REF!</definedName>
    <definedName name="________________RM1" localSheetId="5">#REF!</definedName>
    <definedName name="________________RM1" localSheetId="13">#REF!</definedName>
    <definedName name="________________RM1" localSheetId="11">#REF!</definedName>
    <definedName name="________________RM1" localSheetId="19">#REF!</definedName>
    <definedName name="________________RM1" localSheetId="3">#REF!</definedName>
    <definedName name="________________RM1">#REF!</definedName>
    <definedName name="_______________b69000" localSheetId="2">#REF!</definedName>
    <definedName name="_______________b69000" localSheetId="7">#REF!</definedName>
    <definedName name="_______________b69000" localSheetId="15">#REF!</definedName>
    <definedName name="_______________b69000" localSheetId="5">#REF!</definedName>
    <definedName name="_______________b69000" localSheetId="13">#REF!</definedName>
    <definedName name="_______________b69000" localSheetId="11">#REF!</definedName>
    <definedName name="_______________b69000" localSheetId="19">#REF!</definedName>
    <definedName name="_______________b69000" localSheetId="3">#REF!</definedName>
    <definedName name="_______________b69000">#REF!</definedName>
    <definedName name="_______________pl18" localSheetId="2">'[2]P&amp;L'!#REF!</definedName>
    <definedName name="_______________pl18" localSheetId="7">'[2]P&amp;L'!#REF!</definedName>
    <definedName name="_______________pl18" localSheetId="15">'[2]P&amp;L'!#REF!</definedName>
    <definedName name="_______________pl18" localSheetId="0">'[2]P&amp;L'!#REF!</definedName>
    <definedName name="_______________pl18" localSheetId="5">'[2]P&amp;L'!#REF!</definedName>
    <definedName name="_______________pl18" localSheetId="13">'[2]P&amp;L'!#REF!</definedName>
    <definedName name="_______________pl18" localSheetId="11">'[2]P&amp;L'!#REF!</definedName>
    <definedName name="_______________pl18" localSheetId="19">'[2]P&amp;L'!#REF!</definedName>
    <definedName name="_______________pl18" localSheetId="3">'[2]P&amp;L'!#REF!</definedName>
    <definedName name="_______________pl18">'[2]P&amp;L'!#REF!</definedName>
    <definedName name="______________b69000" localSheetId="2">#REF!</definedName>
    <definedName name="______________b69000" localSheetId="7">#REF!</definedName>
    <definedName name="______________b69000" localSheetId="15">#REF!</definedName>
    <definedName name="______________b69000" localSheetId="0">#REF!</definedName>
    <definedName name="______________b69000" localSheetId="5">#REF!</definedName>
    <definedName name="______________b69000" localSheetId="13">#REF!</definedName>
    <definedName name="______________b69000" localSheetId="11">#REF!</definedName>
    <definedName name="______________b69000" localSheetId="19">#REF!</definedName>
    <definedName name="______________b69000" localSheetId="3">#REF!</definedName>
    <definedName name="______________b69000">#REF!</definedName>
    <definedName name="_____________b69000" localSheetId="2">#REF!</definedName>
    <definedName name="_____________b69000" localSheetId="7">#REF!</definedName>
    <definedName name="_____________b69000" localSheetId="15">#REF!</definedName>
    <definedName name="_____________b69000" localSheetId="5">#REF!</definedName>
    <definedName name="_____________b69000" localSheetId="13">#REF!</definedName>
    <definedName name="_____________b69000" localSheetId="11">#REF!</definedName>
    <definedName name="_____________b69000" localSheetId="19">#REF!</definedName>
    <definedName name="_____________b69000" localSheetId="3">#REF!</definedName>
    <definedName name="_____________b69000">#REF!</definedName>
    <definedName name="_____________CMA1" localSheetId="2">#REF!</definedName>
    <definedName name="_____________CMA1" localSheetId="7">#REF!</definedName>
    <definedName name="_____________CMA1" localSheetId="15">#REF!</definedName>
    <definedName name="_____________CMA1" localSheetId="11">#REF!</definedName>
    <definedName name="_____________CMA1" localSheetId="19">#REF!</definedName>
    <definedName name="_____________CMA1" localSheetId="3">#REF!</definedName>
    <definedName name="_____________CMA1">#REF!</definedName>
    <definedName name="_____________pl18" localSheetId="2">'[3]P&amp;L'!#REF!</definedName>
    <definedName name="_____________pl18" localSheetId="7">'[3]P&amp;L'!#REF!</definedName>
    <definedName name="_____________pl18" localSheetId="15">'[3]P&amp;L'!#REF!</definedName>
    <definedName name="_____________pl18" localSheetId="0">'[3]P&amp;L'!#REF!</definedName>
    <definedName name="_____________pl18" localSheetId="5">'[3]P&amp;L'!#REF!</definedName>
    <definedName name="_____________pl18" localSheetId="13">'[3]P&amp;L'!#REF!</definedName>
    <definedName name="_____________pl18" localSheetId="11">'[3]P&amp;L'!#REF!</definedName>
    <definedName name="_____________pl18" localSheetId="19">'[3]P&amp;L'!#REF!</definedName>
    <definedName name="_____________pl18" localSheetId="3">'[3]P&amp;L'!#REF!</definedName>
    <definedName name="_____________pl18">'[3]P&amp;L'!#REF!</definedName>
    <definedName name="_____________pl19" localSheetId="2">'[4]P&amp;L'!#REF!</definedName>
    <definedName name="_____________pl19" localSheetId="7">'[4]P&amp;L'!#REF!</definedName>
    <definedName name="_____________pl19" localSheetId="15">'[4]P&amp;L'!#REF!</definedName>
    <definedName name="_____________pl19" localSheetId="0">'[4]P&amp;L'!#REF!</definedName>
    <definedName name="_____________pl19" localSheetId="5">'[4]P&amp;L'!#REF!</definedName>
    <definedName name="_____________pl19" localSheetId="13">'[4]P&amp;L'!#REF!</definedName>
    <definedName name="_____________pl19" localSheetId="11">'[4]P&amp;L'!#REF!</definedName>
    <definedName name="_____________pl19" localSheetId="19">'[4]P&amp;L'!#REF!</definedName>
    <definedName name="_____________pl19" localSheetId="3">'[4]P&amp;L'!#REF!</definedName>
    <definedName name="_____________pl19">'[4]P&amp;L'!#REF!</definedName>
    <definedName name="_____________RM1" localSheetId="2">#REF!</definedName>
    <definedName name="_____________RM1" localSheetId="7">#REF!</definedName>
    <definedName name="_____________RM1" localSheetId="15">#REF!</definedName>
    <definedName name="_____________RM1" localSheetId="0">#REF!</definedName>
    <definedName name="_____________RM1" localSheetId="5">#REF!</definedName>
    <definedName name="_____________RM1" localSheetId="13">#REF!</definedName>
    <definedName name="_____________RM1" localSheetId="11">#REF!</definedName>
    <definedName name="_____________RM1" localSheetId="19">#REF!</definedName>
    <definedName name="_____________RM1" localSheetId="3">#REF!</definedName>
    <definedName name="_____________RM1">#REF!</definedName>
    <definedName name="____________b69000" localSheetId="2">#REF!</definedName>
    <definedName name="____________b69000" localSheetId="7">#REF!</definedName>
    <definedName name="____________b69000" localSheetId="15">#REF!</definedName>
    <definedName name="____________b69000" localSheetId="5">#REF!</definedName>
    <definedName name="____________b69000" localSheetId="13">#REF!</definedName>
    <definedName name="____________b69000" localSheetId="11">#REF!</definedName>
    <definedName name="____________b69000" localSheetId="19">#REF!</definedName>
    <definedName name="____________b69000" localSheetId="3">#REF!</definedName>
    <definedName name="____________b69000">#REF!</definedName>
    <definedName name="____________CMA1" localSheetId="2">#REF!</definedName>
    <definedName name="____________CMA1" localSheetId="7">#REF!</definedName>
    <definedName name="____________CMA1" localSheetId="15">#REF!</definedName>
    <definedName name="____________CMA1" localSheetId="11">#REF!</definedName>
    <definedName name="____________CMA1" localSheetId="19">#REF!</definedName>
    <definedName name="____________CMA1" localSheetId="3">#REF!</definedName>
    <definedName name="____________CMA1">#REF!</definedName>
    <definedName name="____________pl18" localSheetId="2">'[3]P&amp;L'!#REF!</definedName>
    <definedName name="____________pl18" localSheetId="7">'[3]P&amp;L'!#REF!</definedName>
    <definedName name="____________pl18" localSheetId="15">'[3]P&amp;L'!#REF!</definedName>
    <definedName name="____________pl18" localSheetId="0">'[3]P&amp;L'!#REF!</definedName>
    <definedName name="____________pl18" localSheetId="5">'[3]P&amp;L'!#REF!</definedName>
    <definedName name="____________pl18" localSheetId="13">'[3]P&amp;L'!#REF!</definedName>
    <definedName name="____________pl18" localSheetId="11">'[3]P&amp;L'!#REF!</definedName>
    <definedName name="____________pl18" localSheetId="19">'[3]P&amp;L'!#REF!</definedName>
    <definedName name="____________pl18" localSheetId="3">'[3]P&amp;L'!#REF!</definedName>
    <definedName name="____________pl18">'[3]P&amp;L'!#REF!</definedName>
    <definedName name="____________pl19" localSheetId="2">'[4]P&amp;L'!#REF!</definedName>
    <definedName name="____________pl19" localSheetId="7">'[4]P&amp;L'!#REF!</definedName>
    <definedName name="____________pl19" localSheetId="15">'[4]P&amp;L'!#REF!</definedName>
    <definedName name="____________pl19" localSheetId="0">'[4]P&amp;L'!#REF!</definedName>
    <definedName name="____________pl19" localSheetId="5">'[4]P&amp;L'!#REF!</definedName>
    <definedName name="____________pl19" localSheetId="13">'[4]P&amp;L'!#REF!</definedName>
    <definedName name="____________pl19" localSheetId="11">'[4]P&amp;L'!#REF!</definedName>
    <definedName name="____________pl19" localSheetId="19">'[4]P&amp;L'!#REF!</definedName>
    <definedName name="____________pl19" localSheetId="3">'[4]P&amp;L'!#REF!</definedName>
    <definedName name="____________pl19">'[4]P&amp;L'!#REF!</definedName>
    <definedName name="____________QPG3">#N/A</definedName>
    <definedName name="____________QPG4">#N/A</definedName>
    <definedName name="____________QPG5">#N/A</definedName>
    <definedName name="____________QPG6">#N/A</definedName>
    <definedName name="____________QPG7">#N/A</definedName>
    <definedName name="____________QPG8">#N/A</definedName>
    <definedName name="____________qpg9">#N/A</definedName>
    <definedName name="____________RM1" localSheetId="2">#REF!</definedName>
    <definedName name="____________RM1" localSheetId="7">#REF!</definedName>
    <definedName name="____________RM1" localSheetId="15">#REF!</definedName>
    <definedName name="____________RM1" localSheetId="0">#REF!</definedName>
    <definedName name="____________RM1" localSheetId="5">#REF!</definedName>
    <definedName name="____________RM1" localSheetId="13">#REF!</definedName>
    <definedName name="____________RM1" localSheetId="11">#REF!</definedName>
    <definedName name="____________RM1" localSheetId="19">#REF!</definedName>
    <definedName name="____________RM1" localSheetId="3">#REF!</definedName>
    <definedName name="____________RM1">#REF!</definedName>
    <definedName name="___________b69000" localSheetId="2">#REF!</definedName>
    <definedName name="___________b69000" localSheetId="7">#REF!</definedName>
    <definedName name="___________b69000" localSheetId="15">#REF!</definedName>
    <definedName name="___________b69000" localSheetId="5">#REF!</definedName>
    <definedName name="___________b69000" localSheetId="13">#REF!</definedName>
    <definedName name="___________b69000" localSheetId="11">#REF!</definedName>
    <definedName name="___________b69000" localSheetId="19">#REF!</definedName>
    <definedName name="___________b69000" localSheetId="3">#REF!</definedName>
    <definedName name="___________b69000">#REF!</definedName>
    <definedName name="___________CMA1" localSheetId="2">#REF!</definedName>
    <definedName name="___________CMA1" localSheetId="7">#REF!</definedName>
    <definedName name="___________CMA1" localSheetId="15">#REF!</definedName>
    <definedName name="___________CMA1" localSheetId="11">#REF!</definedName>
    <definedName name="___________CMA1" localSheetId="19">#REF!</definedName>
    <definedName name="___________CMA1" localSheetId="3">#REF!</definedName>
    <definedName name="___________CMA1">#REF!</definedName>
    <definedName name="___________pl18" localSheetId="2">'[3]P&amp;L'!#REF!</definedName>
    <definedName name="___________pl18" localSheetId="7">'[3]P&amp;L'!#REF!</definedName>
    <definedName name="___________pl18" localSheetId="15">'[3]P&amp;L'!#REF!</definedName>
    <definedName name="___________pl18" localSheetId="0">'[3]P&amp;L'!#REF!</definedName>
    <definedName name="___________pl18" localSheetId="5">'[3]P&amp;L'!#REF!</definedName>
    <definedName name="___________pl18" localSheetId="13">'[3]P&amp;L'!#REF!</definedName>
    <definedName name="___________pl18" localSheetId="11">'[3]P&amp;L'!#REF!</definedName>
    <definedName name="___________pl18" localSheetId="19">'[3]P&amp;L'!#REF!</definedName>
    <definedName name="___________pl18" localSheetId="3">'[3]P&amp;L'!#REF!</definedName>
    <definedName name="___________pl18">'[3]P&amp;L'!#REF!</definedName>
    <definedName name="___________pl19" localSheetId="2">'[4]P&amp;L'!#REF!</definedName>
    <definedName name="___________pl19" localSheetId="7">'[4]P&amp;L'!#REF!</definedName>
    <definedName name="___________pl19" localSheetId="15">'[4]P&amp;L'!#REF!</definedName>
    <definedName name="___________pl19" localSheetId="0">'[4]P&amp;L'!#REF!</definedName>
    <definedName name="___________pl19" localSheetId="5">'[4]P&amp;L'!#REF!</definedName>
    <definedName name="___________pl19" localSheetId="13">'[4]P&amp;L'!#REF!</definedName>
    <definedName name="___________pl19" localSheetId="11">'[4]P&amp;L'!#REF!</definedName>
    <definedName name="___________pl19" localSheetId="19">'[4]P&amp;L'!#REF!</definedName>
    <definedName name="___________pl19" localSheetId="3">'[4]P&amp;L'!#REF!</definedName>
    <definedName name="___________pl19">'[4]P&amp;L'!#REF!</definedName>
    <definedName name="___________RM1" localSheetId="2">#REF!</definedName>
    <definedName name="___________RM1" localSheetId="7">#REF!</definedName>
    <definedName name="___________RM1" localSheetId="15">#REF!</definedName>
    <definedName name="___________RM1" localSheetId="0">#REF!</definedName>
    <definedName name="___________RM1" localSheetId="5">#REF!</definedName>
    <definedName name="___________RM1" localSheetId="13">#REF!</definedName>
    <definedName name="___________RM1" localSheetId="11">#REF!</definedName>
    <definedName name="___________RM1" localSheetId="19">#REF!</definedName>
    <definedName name="___________RM1" localSheetId="3">#REF!</definedName>
    <definedName name="___________RM1">#REF!</definedName>
    <definedName name="__________b69000" localSheetId="2">#REF!</definedName>
    <definedName name="__________b69000" localSheetId="7">#REF!</definedName>
    <definedName name="__________b69000" localSheetId="15">#REF!</definedName>
    <definedName name="__________b69000" localSheetId="5">#REF!</definedName>
    <definedName name="__________b69000" localSheetId="13">#REF!</definedName>
    <definedName name="__________b69000" localSheetId="11">#REF!</definedName>
    <definedName name="__________b69000" localSheetId="19">#REF!</definedName>
    <definedName name="__________b69000" localSheetId="3">#REF!</definedName>
    <definedName name="__________b69000">#REF!</definedName>
    <definedName name="__________CMA1" localSheetId="2">#REF!</definedName>
    <definedName name="__________CMA1" localSheetId="7">#REF!</definedName>
    <definedName name="__________CMA1" localSheetId="15">#REF!</definedName>
    <definedName name="__________CMA1" localSheetId="11">#REF!</definedName>
    <definedName name="__________CMA1" localSheetId="19">#REF!</definedName>
    <definedName name="__________CMA1" localSheetId="3">#REF!</definedName>
    <definedName name="__________CMA1">#REF!</definedName>
    <definedName name="__________pl18" localSheetId="2">'[3]P&amp;L'!#REF!</definedName>
    <definedName name="__________pl18" localSheetId="7">'[3]P&amp;L'!#REF!</definedName>
    <definedName name="__________pl18" localSheetId="15">'[3]P&amp;L'!#REF!</definedName>
    <definedName name="__________pl18" localSheetId="0">'[3]P&amp;L'!#REF!</definedName>
    <definedName name="__________pl18" localSheetId="5">'[3]P&amp;L'!#REF!</definedName>
    <definedName name="__________pl18" localSheetId="13">'[3]P&amp;L'!#REF!</definedName>
    <definedName name="__________pl18" localSheetId="11">'[3]P&amp;L'!#REF!</definedName>
    <definedName name="__________pl18" localSheetId="19">'[3]P&amp;L'!#REF!</definedName>
    <definedName name="__________pl18" localSheetId="3">'[3]P&amp;L'!#REF!</definedName>
    <definedName name="__________pl18">'[3]P&amp;L'!#REF!</definedName>
    <definedName name="__________pl19" localSheetId="2">'[4]P&amp;L'!#REF!</definedName>
    <definedName name="__________pl19" localSheetId="7">'[4]P&amp;L'!#REF!</definedName>
    <definedName name="__________pl19" localSheetId="15">'[4]P&amp;L'!#REF!</definedName>
    <definedName name="__________pl19" localSheetId="0">'[4]P&amp;L'!#REF!</definedName>
    <definedName name="__________pl19" localSheetId="5">'[4]P&amp;L'!#REF!</definedName>
    <definedName name="__________pl19" localSheetId="13">'[4]P&amp;L'!#REF!</definedName>
    <definedName name="__________pl19" localSheetId="11">'[4]P&amp;L'!#REF!</definedName>
    <definedName name="__________pl19" localSheetId="19">'[4]P&amp;L'!#REF!</definedName>
    <definedName name="__________pl19" localSheetId="3">'[4]P&amp;L'!#REF!</definedName>
    <definedName name="__________pl19">'[4]P&amp;L'!#REF!</definedName>
    <definedName name="__________RM1" localSheetId="2">#REF!</definedName>
    <definedName name="__________RM1" localSheetId="7">#REF!</definedName>
    <definedName name="__________RM1" localSheetId="15">#REF!</definedName>
    <definedName name="__________RM1" localSheetId="0">#REF!</definedName>
    <definedName name="__________RM1" localSheetId="5">#REF!</definedName>
    <definedName name="__________RM1" localSheetId="13">#REF!</definedName>
    <definedName name="__________RM1" localSheetId="11">#REF!</definedName>
    <definedName name="__________RM1" localSheetId="19">#REF!</definedName>
    <definedName name="__________RM1" localSheetId="3">#REF!</definedName>
    <definedName name="__________RM1">#REF!</definedName>
    <definedName name="_________b69000" localSheetId="2">#REF!</definedName>
    <definedName name="_________b69000" localSheetId="7">#REF!</definedName>
    <definedName name="_________b69000" localSheetId="15">#REF!</definedName>
    <definedName name="_________b69000" localSheetId="5">#REF!</definedName>
    <definedName name="_________b69000" localSheetId="13">#REF!</definedName>
    <definedName name="_________b69000" localSheetId="11">#REF!</definedName>
    <definedName name="_________b69000" localSheetId="19">#REF!</definedName>
    <definedName name="_________b69000" localSheetId="3">#REF!</definedName>
    <definedName name="_________b69000">#REF!</definedName>
    <definedName name="_________CMA1" localSheetId="2">#REF!</definedName>
    <definedName name="_________CMA1" localSheetId="7">#REF!</definedName>
    <definedName name="_________CMA1" localSheetId="15">#REF!</definedName>
    <definedName name="_________CMA1" localSheetId="11">#REF!</definedName>
    <definedName name="_________CMA1" localSheetId="19">#REF!</definedName>
    <definedName name="_________CMA1" localSheetId="3">#REF!</definedName>
    <definedName name="_________CMA1">#REF!</definedName>
    <definedName name="_________pl18" localSheetId="2">'[3]P&amp;L'!#REF!</definedName>
    <definedName name="_________pl18" localSheetId="7">'[3]P&amp;L'!#REF!</definedName>
    <definedName name="_________pl18" localSheetId="15">'[3]P&amp;L'!#REF!</definedName>
    <definedName name="_________pl18" localSheetId="0">'[3]P&amp;L'!#REF!</definedName>
    <definedName name="_________pl18" localSheetId="5">'[3]P&amp;L'!#REF!</definedName>
    <definedName name="_________pl18" localSheetId="13">'[3]P&amp;L'!#REF!</definedName>
    <definedName name="_________pl18" localSheetId="11">'[3]P&amp;L'!#REF!</definedName>
    <definedName name="_________pl18" localSheetId="19">'[3]P&amp;L'!#REF!</definedName>
    <definedName name="_________pl18" localSheetId="3">'[3]P&amp;L'!#REF!</definedName>
    <definedName name="_________pl18">'[3]P&amp;L'!#REF!</definedName>
    <definedName name="_________pl19" localSheetId="2">'[4]P&amp;L'!#REF!</definedName>
    <definedName name="_________pl19" localSheetId="7">'[4]P&amp;L'!#REF!</definedName>
    <definedName name="_________pl19" localSheetId="15">'[4]P&amp;L'!#REF!</definedName>
    <definedName name="_________pl19" localSheetId="0">'[4]P&amp;L'!#REF!</definedName>
    <definedName name="_________pl19" localSheetId="5">'[4]P&amp;L'!#REF!</definedName>
    <definedName name="_________pl19" localSheetId="13">'[4]P&amp;L'!#REF!</definedName>
    <definedName name="_________pl19" localSheetId="11">'[4]P&amp;L'!#REF!</definedName>
    <definedName name="_________pl19" localSheetId="19">'[4]P&amp;L'!#REF!</definedName>
    <definedName name="_________pl19" localSheetId="3">'[4]P&amp;L'!#REF!</definedName>
    <definedName name="_________pl19">'[4]P&amp;L'!#REF!</definedName>
    <definedName name="_________QPG3">#N/A</definedName>
    <definedName name="_________QPG4">#N/A</definedName>
    <definedName name="_________QPG5">#N/A</definedName>
    <definedName name="_________QPG6">#N/A</definedName>
    <definedName name="_________QPG7">#N/A</definedName>
    <definedName name="_________QPG8">#N/A</definedName>
    <definedName name="_________qpg9">#N/A</definedName>
    <definedName name="_________RM1" localSheetId="2">#REF!</definedName>
    <definedName name="_________RM1" localSheetId="7">#REF!</definedName>
    <definedName name="_________RM1" localSheetId="15">#REF!</definedName>
    <definedName name="_________RM1" localSheetId="0">#REF!</definedName>
    <definedName name="_________RM1" localSheetId="5">#REF!</definedName>
    <definedName name="_________RM1" localSheetId="13">#REF!</definedName>
    <definedName name="_________RM1" localSheetId="11">#REF!</definedName>
    <definedName name="_________RM1" localSheetId="19">#REF!</definedName>
    <definedName name="_________RM1" localSheetId="3">#REF!</definedName>
    <definedName name="_________RM1">#REF!</definedName>
    <definedName name="________b69000" localSheetId="2">#REF!</definedName>
    <definedName name="________b69000" localSheetId="7">#REF!</definedName>
    <definedName name="________b69000" localSheetId="15">#REF!</definedName>
    <definedName name="________b69000" localSheetId="5">#REF!</definedName>
    <definedName name="________b69000" localSheetId="13">#REF!</definedName>
    <definedName name="________b69000" localSheetId="11">#REF!</definedName>
    <definedName name="________b69000" localSheetId="19">#REF!</definedName>
    <definedName name="________b69000" localSheetId="3">#REF!</definedName>
    <definedName name="________b69000">#REF!</definedName>
    <definedName name="________CMA1" localSheetId="2">#REF!</definedName>
    <definedName name="________CMA1" localSheetId="7">#REF!</definedName>
    <definedName name="________CMA1" localSheetId="15">#REF!</definedName>
    <definedName name="________CMA1" localSheetId="11">#REF!</definedName>
    <definedName name="________CMA1" localSheetId="19">#REF!</definedName>
    <definedName name="________CMA1" localSheetId="3">#REF!</definedName>
    <definedName name="________CMA1">#REF!</definedName>
    <definedName name="________pl18" localSheetId="2">'[3]P&amp;L'!#REF!</definedName>
    <definedName name="________pl18" localSheetId="7">'[3]P&amp;L'!#REF!</definedName>
    <definedName name="________pl18" localSheetId="15">'[3]P&amp;L'!#REF!</definedName>
    <definedName name="________pl18" localSheetId="0">'[3]P&amp;L'!#REF!</definedName>
    <definedName name="________pl18" localSheetId="5">'[3]P&amp;L'!#REF!</definedName>
    <definedName name="________pl18" localSheetId="13">'[3]P&amp;L'!#REF!</definedName>
    <definedName name="________pl18" localSheetId="11">'[3]P&amp;L'!#REF!</definedName>
    <definedName name="________pl18" localSheetId="19">'[3]P&amp;L'!#REF!</definedName>
    <definedName name="________pl18" localSheetId="3">'[3]P&amp;L'!#REF!</definedName>
    <definedName name="________pl18">'[3]P&amp;L'!#REF!</definedName>
    <definedName name="________pl19" localSheetId="2">'[4]P&amp;L'!#REF!</definedName>
    <definedName name="________pl19" localSheetId="7">'[4]P&amp;L'!#REF!</definedName>
    <definedName name="________pl19" localSheetId="15">'[4]P&amp;L'!#REF!</definedName>
    <definedName name="________pl19" localSheetId="0">'[4]P&amp;L'!#REF!</definedName>
    <definedName name="________pl19" localSheetId="5">'[4]P&amp;L'!#REF!</definedName>
    <definedName name="________pl19" localSheetId="13">'[4]P&amp;L'!#REF!</definedName>
    <definedName name="________pl19" localSheetId="11">'[4]P&amp;L'!#REF!</definedName>
    <definedName name="________pl19" localSheetId="19">'[4]P&amp;L'!#REF!</definedName>
    <definedName name="________pl19" localSheetId="3">'[4]P&amp;L'!#REF!</definedName>
    <definedName name="________pl19">'[4]P&amp;L'!#REF!</definedName>
    <definedName name="________RM1" localSheetId="2">#REF!</definedName>
    <definedName name="________RM1" localSheetId="7">#REF!</definedName>
    <definedName name="________RM1" localSheetId="15">#REF!</definedName>
    <definedName name="________RM1" localSheetId="0">#REF!</definedName>
    <definedName name="________RM1" localSheetId="5">#REF!</definedName>
    <definedName name="________RM1" localSheetId="13">#REF!</definedName>
    <definedName name="________RM1" localSheetId="11">#REF!</definedName>
    <definedName name="________RM1" localSheetId="19">#REF!</definedName>
    <definedName name="________RM1" localSheetId="3">#REF!</definedName>
    <definedName name="________RM1">#REF!</definedName>
    <definedName name="_______b69000" localSheetId="2">#REF!</definedName>
    <definedName name="_______b69000" localSheetId="7">#REF!</definedName>
    <definedName name="_______b69000" localSheetId="15">#REF!</definedName>
    <definedName name="_______b69000" localSheetId="5">#REF!</definedName>
    <definedName name="_______b69000" localSheetId="13">#REF!</definedName>
    <definedName name="_______b69000" localSheetId="11">#REF!</definedName>
    <definedName name="_______b69000" localSheetId="19">#REF!</definedName>
    <definedName name="_______b69000" localSheetId="3">#REF!</definedName>
    <definedName name="_______b69000">#REF!</definedName>
    <definedName name="_______CMA1" localSheetId="2">#REF!</definedName>
    <definedName name="_______CMA1" localSheetId="7">#REF!</definedName>
    <definedName name="_______CMA1" localSheetId="15">#REF!</definedName>
    <definedName name="_______CMA1" localSheetId="11">#REF!</definedName>
    <definedName name="_______CMA1" localSheetId="19">#REF!</definedName>
    <definedName name="_______CMA1" localSheetId="3">#REF!</definedName>
    <definedName name="_______CMA1">#REF!</definedName>
    <definedName name="_______pl18" localSheetId="2">'[3]P&amp;L'!#REF!</definedName>
    <definedName name="_______pl18" localSheetId="7">'[3]P&amp;L'!#REF!</definedName>
    <definedName name="_______pl18" localSheetId="15">'[3]P&amp;L'!#REF!</definedName>
    <definedName name="_______pl18" localSheetId="0">'[3]P&amp;L'!#REF!</definedName>
    <definedName name="_______pl18" localSheetId="5">'[3]P&amp;L'!#REF!</definedName>
    <definedName name="_______pl18" localSheetId="13">'[3]P&amp;L'!#REF!</definedName>
    <definedName name="_______pl18" localSheetId="11">'[3]P&amp;L'!#REF!</definedName>
    <definedName name="_______pl18" localSheetId="19">'[3]P&amp;L'!#REF!</definedName>
    <definedName name="_______pl18" localSheetId="3">'[3]P&amp;L'!#REF!</definedName>
    <definedName name="_______pl18">'[3]P&amp;L'!#REF!</definedName>
    <definedName name="_______pl19" localSheetId="2">'[4]P&amp;L'!#REF!</definedName>
    <definedName name="_______pl19" localSheetId="7">'[4]P&amp;L'!#REF!</definedName>
    <definedName name="_______pl19" localSheetId="15">'[4]P&amp;L'!#REF!</definedName>
    <definedName name="_______pl19" localSheetId="0">'[4]P&amp;L'!#REF!</definedName>
    <definedName name="_______pl19" localSheetId="5">'[4]P&amp;L'!#REF!</definedName>
    <definedName name="_______pl19" localSheetId="13">'[4]P&amp;L'!#REF!</definedName>
    <definedName name="_______pl19" localSheetId="11">'[4]P&amp;L'!#REF!</definedName>
    <definedName name="_______pl19" localSheetId="19">'[4]P&amp;L'!#REF!</definedName>
    <definedName name="_______pl19" localSheetId="3">'[4]P&amp;L'!#REF!</definedName>
    <definedName name="_______pl19">'[4]P&amp;L'!#REF!</definedName>
    <definedName name="_______RM1" localSheetId="2">#REF!</definedName>
    <definedName name="_______RM1" localSheetId="7">#REF!</definedName>
    <definedName name="_______RM1" localSheetId="15">#REF!</definedName>
    <definedName name="_______RM1" localSheetId="0">#REF!</definedName>
    <definedName name="_______RM1" localSheetId="5">#REF!</definedName>
    <definedName name="_______RM1" localSheetId="13">#REF!</definedName>
    <definedName name="_______RM1" localSheetId="11">#REF!</definedName>
    <definedName name="_______RM1" localSheetId="19">#REF!</definedName>
    <definedName name="_______RM1" localSheetId="3">#REF!</definedName>
    <definedName name="_______RM1">#REF!</definedName>
    <definedName name="______b69000" localSheetId="2">#REF!</definedName>
    <definedName name="______b69000" localSheetId="7">#REF!</definedName>
    <definedName name="______b69000" localSheetId="15">#REF!</definedName>
    <definedName name="______b69000" localSheetId="5">#REF!</definedName>
    <definedName name="______b69000" localSheetId="13">#REF!</definedName>
    <definedName name="______b69000" localSheetId="11">#REF!</definedName>
    <definedName name="______b69000" localSheetId="19">#REF!</definedName>
    <definedName name="______b69000" localSheetId="3">#REF!</definedName>
    <definedName name="______b69000">#REF!</definedName>
    <definedName name="______CMA1" localSheetId="2">#REF!</definedName>
    <definedName name="______CMA1" localSheetId="7">#REF!</definedName>
    <definedName name="______CMA1" localSheetId="15">#REF!</definedName>
    <definedName name="______CMA1" localSheetId="11">#REF!</definedName>
    <definedName name="______CMA1" localSheetId="19">#REF!</definedName>
    <definedName name="______CMA1" localSheetId="3">#REF!</definedName>
    <definedName name="______CMA1">#REF!</definedName>
    <definedName name="______pl18" localSheetId="2">'[3]P&amp;L'!#REF!</definedName>
    <definedName name="______pl18" localSheetId="7">'[3]P&amp;L'!#REF!</definedName>
    <definedName name="______pl18" localSheetId="15">'[3]P&amp;L'!#REF!</definedName>
    <definedName name="______pl18" localSheetId="0">'[3]P&amp;L'!#REF!</definedName>
    <definedName name="______pl18" localSheetId="5">'[3]P&amp;L'!#REF!</definedName>
    <definedName name="______pl18" localSheetId="13">'[3]P&amp;L'!#REF!</definedName>
    <definedName name="______pl18" localSheetId="11">'[3]P&amp;L'!#REF!</definedName>
    <definedName name="______pl18" localSheetId="19">'[3]P&amp;L'!#REF!</definedName>
    <definedName name="______pl18" localSheetId="3">'[3]P&amp;L'!#REF!</definedName>
    <definedName name="______pl18">'[3]P&amp;L'!#REF!</definedName>
    <definedName name="______pl19" localSheetId="2">'[4]P&amp;L'!#REF!</definedName>
    <definedName name="______pl19" localSheetId="7">'[4]P&amp;L'!#REF!</definedName>
    <definedName name="______pl19" localSheetId="15">'[4]P&amp;L'!#REF!</definedName>
    <definedName name="______pl19" localSheetId="0">'[4]P&amp;L'!#REF!</definedName>
    <definedName name="______pl19" localSheetId="5">'[4]P&amp;L'!#REF!</definedName>
    <definedName name="______pl19" localSheetId="13">'[4]P&amp;L'!#REF!</definedName>
    <definedName name="______pl19" localSheetId="11">'[4]P&amp;L'!#REF!</definedName>
    <definedName name="______pl19" localSheetId="19">'[4]P&amp;L'!#REF!</definedName>
    <definedName name="______pl19" localSheetId="3">'[4]P&amp;L'!#REF!</definedName>
    <definedName name="______pl19">'[4]P&amp;L'!#REF!</definedName>
    <definedName name="______RM1" localSheetId="2">#REF!</definedName>
    <definedName name="______RM1" localSheetId="7">#REF!</definedName>
    <definedName name="______RM1" localSheetId="15">#REF!</definedName>
    <definedName name="______RM1" localSheetId="0">#REF!</definedName>
    <definedName name="______RM1" localSheetId="5">#REF!</definedName>
    <definedName name="______RM1" localSheetId="13">#REF!</definedName>
    <definedName name="______RM1" localSheetId="11">#REF!</definedName>
    <definedName name="______RM1" localSheetId="19">#REF!</definedName>
    <definedName name="______RM1" localSheetId="3">#REF!</definedName>
    <definedName name="______RM1">#REF!</definedName>
    <definedName name="_____b69000" localSheetId="2">#REF!</definedName>
    <definedName name="_____b69000" localSheetId="7">#REF!</definedName>
    <definedName name="_____b69000" localSheetId="15">#REF!</definedName>
    <definedName name="_____b69000" localSheetId="5">#REF!</definedName>
    <definedName name="_____b69000" localSheetId="13">#REF!</definedName>
    <definedName name="_____b69000" localSheetId="11">#REF!</definedName>
    <definedName name="_____b69000" localSheetId="19">#REF!</definedName>
    <definedName name="_____b69000" localSheetId="3">#REF!</definedName>
    <definedName name="_____b69000">#REF!</definedName>
    <definedName name="_____CMA1" localSheetId="2">#REF!</definedName>
    <definedName name="_____CMA1" localSheetId="7">#REF!</definedName>
    <definedName name="_____CMA1" localSheetId="15">#REF!</definedName>
    <definedName name="_____CMA1" localSheetId="11">#REF!</definedName>
    <definedName name="_____CMA1" localSheetId="19">#REF!</definedName>
    <definedName name="_____CMA1" localSheetId="3">#REF!</definedName>
    <definedName name="_____CMA1">#REF!</definedName>
    <definedName name="_____pl18" localSheetId="2">'[3]P&amp;L'!#REF!</definedName>
    <definedName name="_____pl18" localSheetId="7">'[3]P&amp;L'!#REF!</definedName>
    <definedName name="_____pl18" localSheetId="15">'[3]P&amp;L'!#REF!</definedName>
    <definedName name="_____pl18" localSheetId="0">'[3]P&amp;L'!#REF!</definedName>
    <definedName name="_____pl18" localSheetId="5">'[3]P&amp;L'!#REF!</definedName>
    <definedName name="_____pl18" localSheetId="13">'[3]P&amp;L'!#REF!</definedName>
    <definedName name="_____pl18" localSheetId="11">'[3]P&amp;L'!#REF!</definedName>
    <definedName name="_____pl18" localSheetId="19">'[3]P&amp;L'!#REF!</definedName>
    <definedName name="_____pl18" localSheetId="3">'[3]P&amp;L'!#REF!</definedName>
    <definedName name="_____pl18">'[3]P&amp;L'!#REF!</definedName>
    <definedName name="_____pl19" localSheetId="2">'[4]P&amp;L'!#REF!</definedName>
    <definedName name="_____pl19" localSheetId="7">'[4]P&amp;L'!#REF!</definedName>
    <definedName name="_____pl19" localSheetId="15">'[4]P&amp;L'!#REF!</definedName>
    <definedName name="_____pl19" localSheetId="0">'[4]P&amp;L'!#REF!</definedName>
    <definedName name="_____pl19" localSheetId="5">'[4]P&amp;L'!#REF!</definedName>
    <definedName name="_____pl19" localSheetId="13">'[4]P&amp;L'!#REF!</definedName>
    <definedName name="_____pl19" localSheetId="11">'[4]P&amp;L'!#REF!</definedName>
    <definedName name="_____pl19" localSheetId="19">'[4]P&amp;L'!#REF!</definedName>
    <definedName name="_____pl19" localSheetId="3">'[4]P&amp;L'!#REF!</definedName>
    <definedName name="_____pl19">'[4]P&amp;L'!#REF!</definedName>
    <definedName name="_____QPG11">#N/A</definedName>
    <definedName name="_____QPG2">#N/A</definedName>
    <definedName name="_____QPG3">#N/A</definedName>
    <definedName name="_____QPG4">#N/A</definedName>
    <definedName name="_____QPG5">#N/A</definedName>
    <definedName name="_____QPG6">#N/A</definedName>
    <definedName name="_____QPG7">#N/A</definedName>
    <definedName name="_____QPG8">#N/A</definedName>
    <definedName name="_____qpg9">#N/A</definedName>
    <definedName name="_____RM1" localSheetId="2">#REF!</definedName>
    <definedName name="_____RM1" localSheetId="7">#REF!</definedName>
    <definedName name="_____RM1" localSheetId="15">#REF!</definedName>
    <definedName name="_____RM1" localSheetId="0">#REF!</definedName>
    <definedName name="_____RM1" localSheetId="5">#REF!</definedName>
    <definedName name="_____RM1" localSheetId="13">#REF!</definedName>
    <definedName name="_____RM1" localSheetId="11">#REF!</definedName>
    <definedName name="_____RM1" localSheetId="19">#REF!</definedName>
    <definedName name="_____RM1" localSheetId="3">#REF!</definedName>
    <definedName name="_____RM1">#REF!</definedName>
    <definedName name="____b69000" localSheetId="2">#REF!</definedName>
    <definedName name="____b69000" localSheetId="7">#REF!</definedName>
    <definedName name="____b69000" localSheetId="15">#REF!</definedName>
    <definedName name="____b69000" localSheetId="5">#REF!</definedName>
    <definedName name="____b69000" localSheetId="13">#REF!</definedName>
    <definedName name="____b69000" localSheetId="11">#REF!</definedName>
    <definedName name="____b69000" localSheetId="19">#REF!</definedName>
    <definedName name="____b69000" localSheetId="3">#REF!</definedName>
    <definedName name="____b69000">#REF!</definedName>
    <definedName name="____CMA1" localSheetId="2">#REF!</definedName>
    <definedName name="____CMA1" localSheetId="7">#REF!</definedName>
    <definedName name="____CMA1" localSheetId="15">#REF!</definedName>
    <definedName name="____CMA1" localSheetId="11">#REF!</definedName>
    <definedName name="____CMA1" localSheetId="19">#REF!</definedName>
    <definedName name="____CMA1" localSheetId="3">#REF!</definedName>
    <definedName name="____CMA1">#REF!</definedName>
    <definedName name="____DAT10">#N/A</definedName>
    <definedName name="____DAT11">#N/A</definedName>
    <definedName name="____DAT12">#N/A</definedName>
    <definedName name="____DAT13">#N/A</definedName>
    <definedName name="____DAT14">#N/A</definedName>
    <definedName name="____DAT17">#N/A</definedName>
    <definedName name="____DAT18">#N/A</definedName>
    <definedName name="____DAT19">#N/A</definedName>
    <definedName name="____DAT2">#N/A</definedName>
    <definedName name="____DAT20">#N/A</definedName>
    <definedName name="____DAT3">#N/A</definedName>
    <definedName name="____DAT4">#N/A</definedName>
    <definedName name="____DAT5">#N/A</definedName>
    <definedName name="____DAT6">#N/A</definedName>
    <definedName name="____DAT7">#N/A</definedName>
    <definedName name="____DAT8">#N/A</definedName>
    <definedName name="____DAT9">#N/A</definedName>
    <definedName name="____pg5">#N/A</definedName>
    <definedName name="____pg7">#N/A</definedName>
    <definedName name="____pg9">#N/A</definedName>
    <definedName name="____pl18" localSheetId="2">'[3]P&amp;L'!#REF!</definedName>
    <definedName name="____pl18" localSheetId="7">'[3]P&amp;L'!#REF!</definedName>
    <definedName name="____pl18" localSheetId="15">'[3]P&amp;L'!#REF!</definedName>
    <definedName name="____pl18" localSheetId="0">'[3]P&amp;L'!#REF!</definedName>
    <definedName name="____pl18" localSheetId="5">'[3]P&amp;L'!#REF!</definedName>
    <definedName name="____pl18" localSheetId="13">'[3]P&amp;L'!#REF!</definedName>
    <definedName name="____pl18" localSheetId="11">'[3]P&amp;L'!#REF!</definedName>
    <definedName name="____pl18" localSheetId="19">'[3]P&amp;L'!#REF!</definedName>
    <definedName name="____pl18" localSheetId="3">'[3]P&amp;L'!#REF!</definedName>
    <definedName name="____pl18">'[3]P&amp;L'!#REF!</definedName>
    <definedName name="____pl19" localSheetId="2">'[4]P&amp;L'!#REF!</definedName>
    <definedName name="____pl19" localSheetId="7">'[4]P&amp;L'!#REF!</definedName>
    <definedName name="____pl19" localSheetId="15">'[4]P&amp;L'!#REF!</definedName>
    <definedName name="____pl19" localSheetId="0">'[4]P&amp;L'!#REF!</definedName>
    <definedName name="____pl19" localSheetId="5">'[4]P&amp;L'!#REF!</definedName>
    <definedName name="____pl19" localSheetId="13">'[4]P&amp;L'!#REF!</definedName>
    <definedName name="____pl19" localSheetId="11">'[4]P&amp;L'!#REF!</definedName>
    <definedName name="____pl19" localSheetId="19">'[4]P&amp;L'!#REF!</definedName>
    <definedName name="____pl19" localSheetId="3">'[4]P&amp;L'!#REF!</definedName>
    <definedName name="____pl19">'[4]P&amp;L'!#REF!</definedName>
    <definedName name="____RM1" localSheetId="2">#REF!</definedName>
    <definedName name="____RM1" localSheetId="7">#REF!</definedName>
    <definedName name="____RM1" localSheetId="15">#REF!</definedName>
    <definedName name="____RM1" localSheetId="0">#REF!</definedName>
    <definedName name="____RM1" localSheetId="5">#REF!</definedName>
    <definedName name="____RM1" localSheetId="13">#REF!</definedName>
    <definedName name="____RM1" localSheetId="11">#REF!</definedName>
    <definedName name="____RM1" localSheetId="19">#REF!</definedName>
    <definedName name="____RM1" localSheetId="3">#REF!</definedName>
    <definedName name="____RM1">#REF!</definedName>
    <definedName name="___b69000" localSheetId="2">#REF!</definedName>
    <definedName name="___b69000" localSheetId="7">#REF!</definedName>
    <definedName name="___b69000" localSheetId="15">#REF!</definedName>
    <definedName name="___b69000" localSheetId="5">#REF!</definedName>
    <definedName name="___b69000" localSheetId="13">#REF!</definedName>
    <definedName name="___b69000" localSheetId="11">#REF!</definedName>
    <definedName name="___b69000" localSheetId="19">#REF!</definedName>
    <definedName name="___b69000" localSheetId="3">#REF!</definedName>
    <definedName name="___b69000">#REF!</definedName>
    <definedName name="___cat2">#N/A</definedName>
    <definedName name="___CMA1" localSheetId="2">#REF!</definedName>
    <definedName name="___CMA1" localSheetId="7">#REF!</definedName>
    <definedName name="___CMA1" localSheetId="15">#REF!</definedName>
    <definedName name="___CMA1" localSheetId="0">#REF!</definedName>
    <definedName name="___CMA1" localSheetId="5">#REF!</definedName>
    <definedName name="___CMA1" localSheetId="13">#REF!</definedName>
    <definedName name="___CMA1" localSheetId="11">#REF!</definedName>
    <definedName name="___CMA1" localSheetId="19">#REF!</definedName>
    <definedName name="___CMA1" localSheetId="3">#REF!</definedName>
    <definedName name="___CMA1">#REF!</definedName>
    <definedName name="___DAT10">#N/A</definedName>
    <definedName name="___DAT11">#N/A</definedName>
    <definedName name="___DAT12">#N/A</definedName>
    <definedName name="___DAT13">#N/A</definedName>
    <definedName name="___DAT14">#N/A</definedName>
    <definedName name="___DAT17">#N/A</definedName>
    <definedName name="___DAT18">#N/A</definedName>
    <definedName name="___DAT19">#N/A</definedName>
    <definedName name="___dat2">#N/A</definedName>
    <definedName name="___DAT20">#N/A</definedName>
    <definedName name="___DAT3">#N/A</definedName>
    <definedName name="___DAT4">#N/A</definedName>
    <definedName name="___DAT5">#N/A</definedName>
    <definedName name="___DAT6">#N/A</definedName>
    <definedName name="___DAT7">#N/A</definedName>
    <definedName name="___DAT8">#N/A</definedName>
    <definedName name="___DAT9">#N/A</definedName>
    <definedName name="___fre2">#N/A</definedName>
    <definedName name="___GIR89">#N/A</definedName>
    <definedName name="___GIR90">#N/A</definedName>
    <definedName name="___pg5">#N/A</definedName>
    <definedName name="___pg7">#N/A</definedName>
    <definedName name="___pg9">#N/A</definedName>
    <definedName name="___pl18" localSheetId="2">'[3]P&amp;L'!#REF!</definedName>
    <definedName name="___pl18" localSheetId="7">'[3]P&amp;L'!#REF!</definedName>
    <definedName name="___pl18" localSheetId="15">'[3]P&amp;L'!#REF!</definedName>
    <definedName name="___pl18" localSheetId="0">'[3]P&amp;L'!#REF!</definedName>
    <definedName name="___pl18" localSheetId="5">'[3]P&amp;L'!#REF!</definedName>
    <definedName name="___pl18" localSheetId="13">'[3]P&amp;L'!#REF!</definedName>
    <definedName name="___pl18" localSheetId="11">'[3]P&amp;L'!#REF!</definedName>
    <definedName name="___pl18" localSheetId="19">'[3]P&amp;L'!#REF!</definedName>
    <definedName name="___pl18" localSheetId="3">'[3]P&amp;L'!#REF!</definedName>
    <definedName name="___pl18">'[3]P&amp;L'!#REF!</definedName>
    <definedName name="___pl19" localSheetId="2">'[4]P&amp;L'!#REF!</definedName>
    <definedName name="___pl19" localSheetId="7">'[4]P&amp;L'!#REF!</definedName>
    <definedName name="___pl19" localSheetId="15">'[4]P&amp;L'!#REF!</definedName>
    <definedName name="___pl19" localSheetId="0">'[4]P&amp;L'!#REF!</definedName>
    <definedName name="___pl19" localSheetId="5">'[4]P&amp;L'!#REF!</definedName>
    <definedName name="___pl19" localSheetId="13">'[4]P&amp;L'!#REF!</definedName>
    <definedName name="___pl19" localSheetId="11">'[4]P&amp;L'!#REF!</definedName>
    <definedName name="___pl19" localSheetId="19">'[4]P&amp;L'!#REF!</definedName>
    <definedName name="___pl19" localSheetId="3">'[4]P&amp;L'!#REF!</definedName>
    <definedName name="___pl19">'[4]P&amp;L'!#REF!</definedName>
    <definedName name="___QPG11">#N/A</definedName>
    <definedName name="___QPG2">#N/A</definedName>
    <definedName name="___QPG3">#N/A</definedName>
    <definedName name="___QPG4">#N/A</definedName>
    <definedName name="___QPG5">#N/A</definedName>
    <definedName name="___QPG6">#N/A</definedName>
    <definedName name="___QPG7">#N/A</definedName>
    <definedName name="___QPG8">#N/A</definedName>
    <definedName name="___qpg9">#N/A</definedName>
    <definedName name="___RM1" localSheetId="2">#REF!</definedName>
    <definedName name="___RM1" localSheetId="7">#REF!</definedName>
    <definedName name="___RM1" localSheetId="15">#REF!</definedName>
    <definedName name="___RM1" localSheetId="0">#REF!</definedName>
    <definedName name="___RM1" localSheetId="5">#REF!</definedName>
    <definedName name="___RM1" localSheetId="13">#REF!</definedName>
    <definedName name="___RM1" localSheetId="11">#REF!</definedName>
    <definedName name="___RM1" localSheetId="19">#REF!</definedName>
    <definedName name="___RM1" localSheetId="3">#REF!</definedName>
    <definedName name="___RM1">#REF!</definedName>
    <definedName name="___VS1">#N/A</definedName>
    <definedName name="___VS2">#N/A</definedName>
    <definedName name="__123Graph_A" localSheetId="16" hidden="1">#REF!</definedName>
    <definedName name="__123Graph_A" localSheetId="8" hidden="1">#REF!</definedName>
    <definedName name="__123Graph_A" hidden="1">#N/A</definedName>
    <definedName name="__123Graph_AL1005" hidden="1">#N/A</definedName>
    <definedName name="__123Graph_AL1006" hidden="1">#N/A</definedName>
    <definedName name="__123Graph_AL460" hidden="1">#N/A</definedName>
    <definedName name="__123Graph_AL750" hidden="1">#N/A</definedName>
    <definedName name="__123Graph_AMIN34" hidden="1">#N/A</definedName>
    <definedName name="__123Graph_AMINE1" hidden="1">#N/A</definedName>
    <definedName name="__123Graph_AMING2" hidden="1">#N/A</definedName>
    <definedName name="__123Graph_AS245A" hidden="1">#N/A</definedName>
    <definedName name="__123Graph_AS245B" hidden="1">#N/A</definedName>
    <definedName name="__123Graph_AS245C" hidden="1">#N/A</definedName>
    <definedName name="__123Graph_AS245D" hidden="1">#N/A</definedName>
    <definedName name="__123Graph_AS550" hidden="1">#N/A</definedName>
    <definedName name="__123Graph_AS625A" hidden="1">#N/A</definedName>
    <definedName name="__123Graph_AS625B" hidden="1">#N/A</definedName>
    <definedName name="__123Graph_AS625C" hidden="1">#N/A</definedName>
    <definedName name="__123Graph_AS750A" hidden="1">#N/A</definedName>
    <definedName name="__123Graph_ASFX56A" hidden="1">#N/A</definedName>
    <definedName name="__123Graph_ASFX56B" hidden="1">#N/A</definedName>
    <definedName name="__123Graph_ASFX56C" hidden="1">#N/A</definedName>
    <definedName name="__123Graph_ASFX56D" hidden="1">#N/A</definedName>
    <definedName name="__123Graph_ASFX56E" hidden="1">#N/A</definedName>
    <definedName name="__123Graph_ATOTLF" hidden="1">#N/A</definedName>
    <definedName name="__123Graph_ATOTMIN" hidden="1">#N/A</definedName>
    <definedName name="__123Graph_ATOTSF" hidden="1">#N/A</definedName>
    <definedName name="__123Graph_ATSALT" hidden="1">#N/A</definedName>
    <definedName name="__123Graph_B" localSheetId="16" hidden="1">#REF!</definedName>
    <definedName name="__123Graph_B" localSheetId="8" hidden="1">#REF!</definedName>
    <definedName name="__123Graph_B" hidden="1">#N/A</definedName>
    <definedName name="__123Graph_BCurrent" hidden="1">#N/A</definedName>
    <definedName name="__123Graph_BL1005" hidden="1">#N/A</definedName>
    <definedName name="__123Graph_BL1006" hidden="1">#N/A</definedName>
    <definedName name="__123Graph_BL460" hidden="1">#N/A</definedName>
    <definedName name="__123Graph_BL750" hidden="1">#N/A</definedName>
    <definedName name="__123Graph_BMIN34" hidden="1">#N/A</definedName>
    <definedName name="__123Graph_BMINE1" hidden="1">#N/A</definedName>
    <definedName name="__123Graph_BMING2" hidden="1">#N/A</definedName>
    <definedName name="__123Graph_BS245A" hidden="1">#N/A</definedName>
    <definedName name="__123Graph_BS245B" hidden="1">#N/A</definedName>
    <definedName name="__123Graph_BS245C" hidden="1">#N/A</definedName>
    <definedName name="__123Graph_BS245D" hidden="1">#N/A</definedName>
    <definedName name="__123Graph_BS550" hidden="1">#N/A</definedName>
    <definedName name="__123Graph_BS625A" hidden="1">#N/A</definedName>
    <definedName name="__123Graph_BS625B" hidden="1">#N/A</definedName>
    <definedName name="__123Graph_BS625C" hidden="1">#N/A</definedName>
    <definedName name="__123Graph_BS750A" hidden="1">#N/A</definedName>
    <definedName name="__123Graph_BSFX56A" hidden="1">#N/A</definedName>
    <definedName name="__123Graph_BSFX56B" hidden="1">#N/A</definedName>
    <definedName name="__123Graph_BSFX56C" hidden="1">#N/A</definedName>
    <definedName name="__123Graph_BSFX56D" hidden="1">#N/A</definedName>
    <definedName name="__123Graph_BSFX56E" hidden="1">#N/A</definedName>
    <definedName name="__123Graph_BTOTLF" hidden="1">#N/A</definedName>
    <definedName name="__123Graph_BTOTMIN" hidden="1">#N/A</definedName>
    <definedName name="__123Graph_BTOTSF" hidden="1">#N/A</definedName>
    <definedName name="__123Graph_BTSALT" hidden="1">#N/A</definedName>
    <definedName name="__123Graph_C" localSheetId="16" hidden="1">#REF!</definedName>
    <definedName name="__123Graph_C" localSheetId="8" hidden="1">#REF!</definedName>
    <definedName name="__123Graph_C" hidden="1">#N/A</definedName>
    <definedName name="__123Graph_CL1005" hidden="1">#N/A</definedName>
    <definedName name="__123Graph_CL1006" hidden="1">#N/A</definedName>
    <definedName name="__123Graph_CL460" hidden="1">#N/A</definedName>
    <definedName name="__123Graph_CL750" hidden="1">#N/A</definedName>
    <definedName name="__123Graph_CMIN34" hidden="1">#N/A</definedName>
    <definedName name="__123Graph_CMING2" hidden="1">#N/A</definedName>
    <definedName name="__123Graph_CS245A" hidden="1">#N/A</definedName>
    <definedName name="__123Graph_CS245B" hidden="1">#N/A</definedName>
    <definedName name="__123Graph_CS245C" hidden="1">#N/A</definedName>
    <definedName name="__123Graph_CS245D" hidden="1">#N/A</definedName>
    <definedName name="__123Graph_CS550" hidden="1">#N/A</definedName>
    <definedName name="__123Graph_CS625A" hidden="1">#N/A</definedName>
    <definedName name="__123Graph_CS625B" hidden="1">#N/A</definedName>
    <definedName name="__123Graph_CS625C" hidden="1">#N/A</definedName>
    <definedName name="__123Graph_CS750A" hidden="1">#N/A</definedName>
    <definedName name="__123Graph_CSFX56A" hidden="1">#N/A</definedName>
    <definedName name="__123Graph_CSFX56B" hidden="1">#N/A</definedName>
    <definedName name="__123Graph_CSFX56C" hidden="1">#N/A</definedName>
    <definedName name="__123Graph_CSFX56D" hidden="1">#N/A</definedName>
    <definedName name="__123Graph_CSFX56E" hidden="1">#N/A</definedName>
    <definedName name="__123Graph_CTOTSF" hidden="1">#N/A</definedName>
    <definedName name="__123Graph_CTSALT" hidden="1">#N/A</definedName>
    <definedName name="__123Graph_D" localSheetId="16" hidden="1">#REF!</definedName>
    <definedName name="__123Graph_D" localSheetId="8" hidden="1">#REF!</definedName>
    <definedName name="__123Graph_D" hidden="1">#N/A</definedName>
    <definedName name="__123Graph_DCurrent" hidden="1">#N/A</definedName>
    <definedName name="__123Graph_E" localSheetId="16" hidden="1">#REF!</definedName>
    <definedName name="__123Graph_E" localSheetId="8" hidden="1">#REF!</definedName>
    <definedName name="__123Graph_E" hidden="1">#N/A</definedName>
    <definedName name="__123Graph_F" localSheetId="16" hidden="1">#REF!</definedName>
    <definedName name="__123Graph_F" localSheetId="8" hidden="1">#REF!</definedName>
    <definedName name="__123Graph_F" hidden="1">#N/A</definedName>
    <definedName name="__123Graph_FCurrent" hidden="1">#N/A</definedName>
    <definedName name="__123Graph_X" localSheetId="16" hidden="1">#REF!</definedName>
    <definedName name="__123Graph_X" localSheetId="8" hidden="1">#REF!</definedName>
    <definedName name="__123Graph_X" hidden="1">#N/A</definedName>
    <definedName name="__123Graph_XCurrent" hidden="1">#N/A</definedName>
    <definedName name="__123Graph_XL1005" hidden="1">#N/A</definedName>
    <definedName name="__123Graph_XL1006" hidden="1">#N/A</definedName>
    <definedName name="__123Graph_XL460" hidden="1">#N/A</definedName>
    <definedName name="__123Graph_XL750" hidden="1">#N/A</definedName>
    <definedName name="__123Graph_XMIN34" hidden="1">#N/A</definedName>
    <definedName name="__123Graph_XMINE1" hidden="1">#N/A</definedName>
    <definedName name="__123Graph_XMING2" hidden="1">#N/A</definedName>
    <definedName name="__123Graph_XS245A" hidden="1">#N/A</definedName>
    <definedName name="__123Graph_XS245B" hidden="1">#N/A</definedName>
    <definedName name="__123Graph_XS245C" hidden="1">#N/A</definedName>
    <definedName name="__123Graph_XS245D" hidden="1">#N/A</definedName>
    <definedName name="__123Graph_XS550" hidden="1">#N/A</definedName>
    <definedName name="__123Graph_XS625A" hidden="1">#N/A</definedName>
    <definedName name="__123Graph_XS625B" hidden="1">#N/A</definedName>
    <definedName name="__123Graph_XS625C" hidden="1">#N/A</definedName>
    <definedName name="__123Graph_XS750A" hidden="1">#N/A</definedName>
    <definedName name="__123Graph_XSFX56A" hidden="1">#N/A</definedName>
    <definedName name="__123Graph_XSFX56B" hidden="1">#N/A</definedName>
    <definedName name="__123Graph_XSFX56C" hidden="1">#N/A</definedName>
    <definedName name="__123Graph_XSFX56D" hidden="1">#N/A</definedName>
    <definedName name="__123Graph_XSFX56E" hidden="1">#N/A</definedName>
    <definedName name="__123Graph_XTOTLF" hidden="1">#N/A</definedName>
    <definedName name="__123Graph_XTOTMIN" hidden="1">#N/A</definedName>
    <definedName name="__123Graph_XTOTSF" hidden="1">#N/A</definedName>
    <definedName name="__123Graph_XTSALT" hidden="1">#N/A</definedName>
    <definedName name="__A100000" localSheetId="2">'[5]Project Cost'!#REF!</definedName>
    <definedName name="__A100000" localSheetId="22">'[5]Project Cost'!#REF!</definedName>
    <definedName name="__A100000">'[5]Project Cost'!#REF!</definedName>
    <definedName name="__A540000" localSheetId="2">'[5]Project Cost'!#REF!</definedName>
    <definedName name="__A540000" localSheetId="22">'[5]Project Cost'!#REF!</definedName>
    <definedName name="__A540000">'[5]Project Cost'!#REF!</definedName>
    <definedName name="__add1">#N/A</definedName>
    <definedName name="__add10">#N/A</definedName>
    <definedName name="__add3">#N/A</definedName>
    <definedName name="__add4">#N/A</definedName>
    <definedName name="__add5">#N/A</definedName>
    <definedName name="__add6">#N/A</definedName>
    <definedName name="__add7">#N/A</definedName>
    <definedName name="__add8">#N/A</definedName>
    <definedName name="__add9">#N/A</definedName>
    <definedName name="__b69000" localSheetId="2">#REF!</definedName>
    <definedName name="__b69000" localSheetId="7">#REF!</definedName>
    <definedName name="__b69000" localSheetId="15">#REF!</definedName>
    <definedName name="__b69000" localSheetId="0">#REF!</definedName>
    <definedName name="__b69000" localSheetId="5">#REF!</definedName>
    <definedName name="__b69000" localSheetId="13">#REF!</definedName>
    <definedName name="__b69000" localSheetId="11">#REF!</definedName>
    <definedName name="__b69000" localSheetId="19">#REF!</definedName>
    <definedName name="__b69000" localSheetId="3">#REF!</definedName>
    <definedName name="__b69000">#REF!</definedName>
    <definedName name="__cat2">#N/A</definedName>
    <definedName name="__CMA1" localSheetId="2">#REF!</definedName>
    <definedName name="__CMA1" localSheetId="7">#REF!</definedName>
    <definedName name="__CMA1" localSheetId="15">#REF!</definedName>
    <definedName name="__CMA1" localSheetId="0">#REF!</definedName>
    <definedName name="__CMA1" localSheetId="5">#REF!</definedName>
    <definedName name="__CMA1" localSheetId="13">#REF!</definedName>
    <definedName name="__CMA1" localSheetId="11">#REF!</definedName>
    <definedName name="__CMA1" localSheetId="19">#REF!</definedName>
    <definedName name="__CMA1" localSheetId="3">#REF!</definedName>
    <definedName name="__CMA1">#REF!</definedName>
    <definedName name="__DAT10">#N/A</definedName>
    <definedName name="__DAT11">#N/A</definedName>
    <definedName name="__DAT12">#N/A</definedName>
    <definedName name="__DAT13">#N/A</definedName>
    <definedName name="__DAT14">#N/A</definedName>
    <definedName name="__DAT15">#N/A</definedName>
    <definedName name="__DAT16">#N/A</definedName>
    <definedName name="__DAT17">#N/A</definedName>
    <definedName name="__DAT18">#N/A</definedName>
    <definedName name="__DAT19">#N/A</definedName>
    <definedName name="__dat2">#N/A</definedName>
    <definedName name="__DAT20">#N/A</definedName>
    <definedName name="__DAT21">#N/A</definedName>
    <definedName name="__DAT22">#N/A</definedName>
    <definedName name="__DAT23">#N/A</definedName>
    <definedName name="__DAT24">#N/A</definedName>
    <definedName name="__DAT25">#N/A</definedName>
    <definedName name="__DAT26">#N/A</definedName>
    <definedName name="__DAT27">#N/A</definedName>
    <definedName name="__DAT28">#N/A</definedName>
    <definedName name="__DAT3">#N/A</definedName>
    <definedName name="__DAT4">#N/A</definedName>
    <definedName name="__DAT5">#N/A</definedName>
    <definedName name="__DAT6">#N/A</definedName>
    <definedName name="__DAT7">#N/A</definedName>
    <definedName name="__DAT8">#N/A</definedName>
    <definedName name="__DAT9">#N/A</definedName>
    <definedName name="__fre2">#N/A</definedName>
    <definedName name="__GIR89">#N/A</definedName>
    <definedName name="__GIR90">#N/A</definedName>
    <definedName name="__oc1" localSheetId="22">[6]SENS!$F$9</definedName>
    <definedName name="__oc1">[6]SENS!$F$9</definedName>
    <definedName name="__pg5">#N/A</definedName>
    <definedName name="__pg7">#N/A</definedName>
    <definedName name="__pg9">#N/A</definedName>
    <definedName name="__pl18" localSheetId="2">'[3]P&amp;L'!#REF!</definedName>
    <definedName name="__pl18" localSheetId="7">'[3]P&amp;L'!#REF!</definedName>
    <definedName name="__pl18" localSheetId="15">'[3]P&amp;L'!#REF!</definedName>
    <definedName name="__pl18" localSheetId="0">'[3]P&amp;L'!#REF!</definedName>
    <definedName name="__pl18" localSheetId="5">'[3]P&amp;L'!#REF!</definedName>
    <definedName name="__pl18" localSheetId="13">'[3]P&amp;L'!#REF!</definedName>
    <definedName name="__pl18" localSheetId="11">'[3]P&amp;L'!#REF!</definedName>
    <definedName name="__pl18" localSheetId="19">'[3]P&amp;L'!#REF!</definedName>
    <definedName name="__pl18" localSheetId="3">'[3]P&amp;L'!#REF!</definedName>
    <definedName name="__pl18">'[3]P&amp;L'!#REF!</definedName>
    <definedName name="__pl19" localSheetId="2">'[4]P&amp;L'!#REF!</definedName>
    <definedName name="__pl19" localSheetId="7">'[4]P&amp;L'!#REF!</definedName>
    <definedName name="__pl19" localSheetId="15">'[4]P&amp;L'!#REF!</definedName>
    <definedName name="__pl19" localSheetId="0">'[4]P&amp;L'!#REF!</definedName>
    <definedName name="__pl19" localSheetId="5">'[4]P&amp;L'!#REF!</definedName>
    <definedName name="__pl19" localSheetId="13">'[4]P&amp;L'!#REF!</definedName>
    <definedName name="__pl19" localSheetId="11">'[4]P&amp;L'!#REF!</definedName>
    <definedName name="__pl19" localSheetId="19">'[4]P&amp;L'!#REF!</definedName>
    <definedName name="__pl19" localSheetId="3">'[4]P&amp;L'!#REF!</definedName>
    <definedName name="__pl19">'[4]P&amp;L'!#REF!</definedName>
    <definedName name="__pur10" hidden="1">#N/A</definedName>
    <definedName name="__QPG1">#N/A</definedName>
    <definedName name="__qpg10">#N/A</definedName>
    <definedName name="__QPG11">#N/A</definedName>
    <definedName name="__QPG2">#N/A</definedName>
    <definedName name="__QPG3">#N/A</definedName>
    <definedName name="__QPG4">#N/A</definedName>
    <definedName name="__QPG5">#N/A</definedName>
    <definedName name="__QPG6">#N/A</definedName>
    <definedName name="__QPG7">#N/A</definedName>
    <definedName name="__QPG8">#N/A</definedName>
    <definedName name="__qpg9">#N/A</definedName>
    <definedName name="__RM1" localSheetId="2">#REF!</definedName>
    <definedName name="__RM1" localSheetId="7">#REF!</definedName>
    <definedName name="__RM1" localSheetId="15">#REF!</definedName>
    <definedName name="__RM1" localSheetId="0">#REF!</definedName>
    <definedName name="__RM1" localSheetId="5">#REF!</definedName>
    <definedName name="__RM1" localSheetId="13">#REF!</definedName>
    <definedName name="__RM1" localSheetId="11">#REF!</definedName>
    <definedName name="__RM1" localSheetId="19">#REF!</definedName>
    <definedName name="__RM1" localSheetId="3">#REF!</definedName>
    <definedName name="__RM1">#REF!</definedName>
    <definedName name="__sp1" localSheetId="22">[6]SENS!$F$10</definedName>
    <definedName name="__sp1">[6]SENS!$F$10</definedName>
    <definedName name="__trg01">#N/A</definedName>
    <definedName name="__VE9">#N/A</definedName>
    <definedName name="__veh1">#N/A</definedName>
    <definedName name="__VS1">#N/A</definedName>
    <definedName name="__VS2">#N/A</definedName>
    <definedName name="_1" localSheetId="2" hidden="1">[7]CMA!#REF!</definedName>
    <definedName name="_1" localSheetId="7" hidden="1">[7]CMA!#REF!</definedName>
    <definedName name="_1" localSheetId="15" hidden="1">[7]CMA!#REF!</definedName>
    <definedName name="_1" localSheetId="0" hidden="1">[7]CMA!#REF!</definedName>
    <definedName name="_1" localSheetId="5" hidden="1">[7]CMA!#REF!</definedName>
    <definedName name="_1" localSheetId="13" hidden="1">[7]CMA!#REF!</definedName>
    <definedName name="_1" localSheetId="11" hidden="1">[7]CMA!#REF!</definedName>
    <definedName name="_1" localSheetId="19" hidden="1">[7]CMA!#REF!</definedName>
    <definedName name="_1" localSheetId="3" hidden="1">[7]CMA!#REF!</definedName>
    <definedName name="_1" hidden="1">[7]CMA!#REF!</definedName>
    <definedName name="_123" hidden="1">#N/A</definedName>
    <definedName name="_1999_ACT">#N/A</definedName>
    <definedName name="_2" hidden="1">#N/A</definedName>
    <definedName name="_3">#N/A</definedName>
    <definedName name="_3B">#N/A</definedName>
    <definedName name="_4">#N/A</definedName>
    <definedName name="_43B">#N/A</definedName>
    <definedName name="_4A">#N/A</definedName>
    <definedName name="_4CC1">#N/A</definedName>
    <definedName name="_4CC2">#N/A</definedName>
    <definedName name="_4CC3">#N/A</definedName>
    <definedName name="_5">#N/A</definedName>
    <definedName name="_6">#N/A</definedName>
    <definedName name="_6CC1">#N/A</definedName>
    <definedName name="_6CC2">#N/A</definedName>
    <definedName name="_6CC3">#N/A</definedName>
    <definedName name="_6E">#N/A</definedName>
    <definedName name="_7">#N/A</definedName>
    <definedName name="_8">#N/A</definedName>
    <definedName name="_80HHC">#N/A</definedName>
    <definedName name="_80HHC_22">#N/A</definedName>
    <definedName name="_8A">#N/A</definedName>
    <definedName name="_8CC1">#N/A</definedName>
    <definedName name="_8CC2">#N/A</definedName>
    <definedName name="_8I">#N/A</definedName>
    <definedName name="_A100000" localSheetId="2">'[5]Project Cost'!#REF!</definedName>
    <definedName name="_A100000">'[5]Project Cost'!#REF!</definedName>
    <definedName name="_A540000" localSheetId="2">'[5]Project Cost'!#REF!</definedName>
    <definedName name="_A540000">'[5]Project Cost'!#REF!</definedName>
    <definedName name="_AA_10">#N/A</definedName>
    <definedName name="_add1">#N/A</definedName>
    <definedName name="_add10">#N/A</definedName>
    <definedName name="_add3">#N/A</definedName>
    <definedName name="_add4">#N/A</definedName>
    <definedName name="_add5">#N/A</definedName>
    <definedName name="_add6">#N/A</definedName>
    <definedName name="_add7">#N/A</definedName>
    <definedName name="_add8">#N/A</definedName>
    <definedName name="_add9">#N/A</definedName>
    <definedName name="_b69000" localSheetId="2">#REF!</definedName>
    <definedName name="_b69000" localSheetId="7">#REF!</definedName>
    <definedName name="_b69000" localSheetId="15">#REF!</definedName>
    <definedName name="_b69000" localSheetId="0">#REF!</definedName>
    <definedName name="_b69000" localSheetId="5">#REF!</definedName>
    <definedName name="_b69000" localSheetId="13">#REF!</definedName>
    <definedName name="_b69000" localSheetId="11">#REF!</definedName>
    <definedName name="_b69000" localSheetId="19">#REF!</definedName>
    <definedName name="_b69000" localSheetId="3">#REF!</definedName>
    <definedName name="_b69000">#REF!</definedName>
    <definedName name="_cat1">#N/A</definedName>
    <definedName name="_cat1_1">#N/A</definedName>
    <definedName name="_cat2">#N/A</definedName>
    <definedName name="_cat2_1">#N/A</definedName>
    <definedName name="_CMA1" localSheetId="2">#REF!</definedName>
    <definedName name="_CMA1" localSheetId="7">#REF!</definedName>
    <definedName name="_CMA1" localSheetId="15">#REF!</definedName>
    <definedName name="_CMA1" localSheetId="0">#REF!</definedName>
    <definedName name="_CMA1" localSheetId="5">#REF!</definedName>
    <definedName name="_CMA1" localSheetId="13">#REF!</definedName>
    <definedName name="_CMA1" localSheetId="11">#REF!</definedName>
    <definedName name="_CMA1" localSheetId="19">#REF!</definedName>
    <definedName name="_CMA1" localSheetId="3">#REF!</definedName>
    <definedName name="_CMA1">#REF!</definedName>
    <definedName name="_d_1">#N/A</definedName>
    <definedName name="_d_10">#N/A</definedName>
    <definedName name="_d_5">#N/A</definedName>
    <definedName name="_dat1">#N/A</definedName>
    <definedName name="_dat1_1">#N/A</definedName>
    <definedName name="_DAT10">#N/A</definedName>
    <definedName name="_DAT11">#N/A</definedName>
    <definedName name="_DAT12">#N/A</definedName>
    <definedName name="_DAT13">#N/A</definedName>
    <definedName name="_DAT14">#N/A</definedName>
    <definedName name="_DAT15">#N/A</definedName>
    <definedName name="_DAT16">#N/A</definedName>
    <definedName name="_DAT17">#N/A</definedName>
    <definedName name="_DAT18">#N/A</definedName>
    <definedName name="_DAT19">#N/A</definedName>
    <definedName name="_dat2">#N/A</definedName>
    <definedName name="_dat2_1">#N/A</definedName>
    <definedName name="_DAT20">#N/A</definedName>
    <definedName name="_DAT21">#N/A</definedName>
    <definedName name="_DAT22">#N/A</definedName>
    <definedName name="_DAT23">#N/A</definedName>
    <definedName name="_DAT24">#N/A</definedName>
    <definedName name="_DAT25">#N/A</definedName>
    <definedName name="_DAT26">#N/A</definedName>
    <definedName name="_DAT27">#N/A</definedName>
    <definedName name="_DAT28">#N/A</definedName>
    <definedName name="_DAT3">#N/A</definedName>
    <definedName name="_DAT4">#N/A</definedName>
    <definedName name="_DAT5">#N/A</definedName>
    <definedName name="_DAT6">#N/A</definedName>
    <definedName name="_DAT7">#N/A</definedName>
    <definedName name="_DAT8">#N/A</definedName>
    <definedName name="_DAT9">#N/A</definedName>
    <definedName name="_dev2">#N/A</definedName>
    <definedName name="_dfr4" hidden="1">#N/A</definedName>
    <definedName name="_e">#N/A</definedName>
    <definedName name="_e_1">#N/A</definedName>
    <definedName name="_e_5">#N/A</definedName>
    <definedName name="_Fill" localSheetId="2" hidden="1">[8]CMA!#REF!</definedName>
    <definedName name="_Fill" localSheetId="22" hidden="1">[8]CMA!#REF!</definedName>
    <definedName name="_Fill" localSheetId="7" hidden="1">[8]CMA!#REF!</definedName>
    <definedName name="_Fill" localSheetId="15" hidden="1">[8]CMA!#REF!</definedName>
    <definedName name="_Fill" localSheetId="0" hidden="1">[8]CMA!#REF!</definedName>
    <definedName name="_Fill" localSheetId="16" hidden="1">#REF!</definedName>
    <definedName name="_Fill" localSheetId="8" hidden="1">#REF!</definedName>
    <definedName name="_Fill" localSheetId="5" hidden="1">[8]CMA!#REF!</definedName>
    <definedName name="_Fill" localSheetId="13" hidden="1">[8]CMA!#REF!</definedName>
    <definedName name="_Fill" localSheetId="11" hidden="1">[8]CMA!#REF!</definedName>
    <definedName name="_Fill" localSheetId="19" hidden="1">[8]CMA!#REF!</definedName>
    <definedName name="_Fill" localSheetId="3" hidden="1">[8]CMA!#REF!</definedName>
    <definedName name="_Fill" hidden="1">[8]CMA!#REF!</definedName>
    <definedName name="_fre2_1">#N/A</definedName>
    <definedName name="_GIR89_1">#N/A</definedName>
    <definedName name="_GIR90">#N/A</definedName>
    <definedName name="_GIR90_1">#N/A</definedName>
    <definedName name="_kay1" hidden="1">#N/A</definedName>
    <definedName name="_LTD98">#N/A</definedName>
    <definedName name="_oc1" localSheetId="22">[6]SENS!$F$9</definedName>
    <definedName name="_oc1">[6]SENS!$F$9</definedName>
    <definedName name="_Order1" hidden="1">255</definedName>
    <definedName name="_Order2" hidden="1">255</definedName>
    <definedName name="_p_32">[9]FORMULA!$H$4</definedName>
    <definedName name="_p_34">[9]FORMULA!$H$4</definedName>
    <definedName name="_p_35">[9]FORMULA!$H$4</definedName>
    <definedName name="_p_36">[9]FORMULA!$H$4</definedName>
    <definedName name="_p_37">[9]FORMULA!$H$4</definedName>
    <definedName name="_p_47">[9]FORMULA!$H$4</definedName>
    <definedName name="_Pam10" hidden="1">#N/A</definedName>
    <definedName name="_Pam11" hidden="1">#N/A</definedName>
    <definedName name="_Pam12" hidden="1">#N/A</definedName>
    <definedName name="_Pam13" hidden="1">#N/A</definedName>
    <definedName name="_Pam14" hidden="1">#N/A</definedName>
    <definedName name="_Pam2" hidden="1">#N/A</definedName>
    <definedName name="_Pam3" hidden="1">#N/A</definedName>
    <definedName name="_Pam4" hidden="1">#N/A</definedName>
    <definedName name="_Pam5" hidden="1">#N/A</definedName>
    <definedName name="_Pam6" hidden="1">#N/A</definedName>
    <definedName name="_Pam7" hidden="1">#N/A</definedName>
    <definedName name="_Pam8" hidden="1">#N/A</definedName>
    <definedName name="_Pam9" hidden="1">#N/A</definedName>
    <definedName name="_Parse_In" hidden="1">#N/A</definedName>
    <definedName name="_Parse_Out" hidden="1">#N/A</definedName>
    <definedName name="_pg3">#N/A</definedName>
    <definedName name="_pg5">#N/A</definedName>
    <definedName name="_pg7">#N/A</definedName>
    <definedName name="_pg9">#N/A</definedName>
    <definedName name="_pl18" localSheetId="2">'[3]P&amp;L'!#REF!</definedName>
    <definedName name="_pl18" localSheetId="7">'[3]P&amp;L'!#REF!</definedName>
    <definedName name="_pl18" localSheetId="15">'[3]P&amp;L'!#REF!</definedName>
    <definedName name="_pl18" localSheetId="0">'[3]P&amp;L'!#REF!</definedName>
    <definedName name="_pl18" localSheetId="5">'[3]P&amp;L'!#REF!</definedName>
    <definedName name="_pl18" localSheetId="13">'[3]P&amp;L'!#REF!</definedName>
    <definedName name="_pl18" localSheetId="11">'[3]P&amp;L'!#REF!</definedName>
    <definedName name="_pl18" localSheetId="19">'[3]P&amp;L'!#REF!</definedName>
    <definedName name="_pl18" localSheetId="3">'[3]P&amp;L'!#REF!</definedName>
    <definedName name="_pl18">'[3]P&amp;L'!#REF!</definedName>
    <definedName name="_pl19" localSheetId="2">'[4]P&amp;L'!#REF!</definedName>
    <definedName name="_pl19" localSheetId="7">'[4]P&amp;L'!#REF!</definedName>
    <definedName name="_pl19" localSheetId="15">'[4]P&amp;L'!#REF!</definedName>
    <definedName name="_pl19" localSheetId="0">'[4]P&amp;L'!#REF!</definedName>
    <definedName name="_pl19" localSheetId="5">'[4]P&amp;L'!#REF!</definedName>
    <definedName name="_pl19" localSheetId="13">'[4]P&amp;L'!#REF!</definedName>
    <definedName name="_pl19" localSheetId="11">'[4]P&amp;L'!#REF!</definedName>
    <definedName name="_pl19" localSheetId="19">'[4]P&amp;L'!#REF!</definedName>
    <definedName name="_pl19" localSheetId="3">'[4]P&amp;L'!#REF!</definedName>
    <definedName name="_pl19">'[4]P&amp;L'!#REF!</definedName>
    <definedName name="_pur10" hidden="1">#N/A</definedName>
    <definedName name="_Q">#N/A</definedName>
    <definedName name="_QPG1">#N/A</definedName>
    <definedName name="_QPG1_1">#N/A</definedName>
    <definedName name="_qpg10">#N/A</definedName>
    <definedName name="_qpg10_1">#N/A</definedName>
    <definedName name="_QPG11">#N/A</definedName>
    <definedName name="_QPG11_1">#N/A</definedName>
    <definedName name="_QPG2">#N/A</definedName>
    <definedName name="_QPG2_1">#N/A</definedName>
    <definedName name="_QPG3">#N/A</definedName>
    <definedName name="_QPG3_1">#N/A</definedName>
    <definedName name="_QPG4">#N/A</definedName>
    <definedName name="_QPG4_1">#N/A</definedName>
    <definedName name="_QPG5">#N/A</definedName>
    <definedName name="_QPG5_1">#N/A</definedName>
    <definedName name="_QPG6">#N/A</definedName>
    <definedName name="_QPG6_1">#N/A</definedName>
    <definedName name="_QPG7">#N/A</definedName>
    <definedName name="_QPG7_1">#N/A</definedName>
    <definedName name="_QPG8">#N/A</definedName>
    <definedName name="_QPG8_1">#N/A</definedName>
    <definedName name="_qpg9">#N/A</definedName>
    <definedName name="_qpg9_1">#N/A</definedName>
    <definedName name="_rk1">#N/A</definedName>
    <definedName name="_RM1" localSheetId="2">#REF!</definedName>
    <definedName name="_RM1" localSheetId="7">#REF!</definedName>
    <definedName name="_RM1" localSheetId="15">#REF!</definedName>
    <definedName name="_RM1" localSheetId="0">#REF!</definedName>
    <definedName name="_RM1" localSheetId="5">#REF!</definedName>
    <definedName name="_RM1" localSheetId="13">#REF!</definedName>
    <definedName name="_RM1" localSheetId="11">#REF!</definedName>
    <definedName name="_RM1" localSheetId="19">#REF!</definedName>
    <definedName name="_RM1" localSheetId="3">#REF!</definedName>
    <definedName name="_RM1">#REF!</definedName>
    <definedName name="_sh12">#N/A</definedName>
    <definedName name="_sp1" localSheetId="22">[6]SENS!$F$10</definedName>
    <definedName name="_sp1">[6]SENS!$F$10</definedName>
    <definedName name="_t">#N/A</definedName>
    <definedName name="_t_1">#N/A</definedName>
    <definedName name="_t_10">#N/A</definedName>
    <definedName name="_t_2">#N/A</definedName>
    <definedName name="_t_22">#N/A</definedName>
    <definedName name="_t_3">#N/A</definedName>
    <definedName name="_t_5">#N/A</definedName>
    <definedName name="_Table1_In1" hidden="1">#N/A</definedName>
    <definedName name="_Table1_Out" hidden="1">#N/A</definedName>
    <definedName name="_trg01">#N/A</definedName>
    <definedName name="_us0300">#N/A</definedName>
    <definedName name="_us0301">#N/A</definedName>
    <definedName name="_VE9">#N/A</definedName>
    <definedName name="_veh1">#N/A</definedName>
    <definedName name="_VS1">#N/A</definedName>
    <definedName name="_VS2">#N/A</definedName>
    <definedName name="_x">#N/A</definedName>
    <definedName name="_x_10">#N/A</definedName>
    <definedName name="A" localSheetId="2">#REF!</definedName>
    <definedName name="A" localSheetId="7">#REF!</definedName>
    <definedName name="A" localSheetId="15">#REF!</definedName>
    <definedName name="A" localSheetId="0">#REF!</definedName>
    <definedName name="A" localSheetId="5">#REF!</definedName>
    <definedName name="A" localSheetId="13">#REF!</definedName>
    <definedName name="A" localSheetId="11">#REF!</definedName>
    <definedName name="A" localSheetId="19">#REF!</definedName>
    <definedName name="A" localSheetId="3">#REF!</definedName>
    <definedName name="A">#REF!</definedName>
    <definedName name="A_14">#N/A</definedName>
    <definedName name="A_15">#N/A</definedName>
    <definedName name="A_19">#N/A</definedName>
    <definedName name="A_2">#N/A</definedName>
    <definedName name="A_22">#N/A</definedName>
    <definedName name="A1_" localSheetId="2">#REF!</definedName>
    <definedName name="A1_" localSheetId="7">#REF!</definedName>
    <definedName name="A1_" localSheetId="15">#REF!</definedName>
    <definedName name="A1_" localSheetId="0">#REF!</definedName>
    <definedName name="A1_" localSheetId="5">#REF!</definedName>
    <definedName name="A1_" localSheetId="13">#REF!</definedName>
    <definedName name="A1_" localSheetId="11">#REF!</definedName>
    <definedName name="A1_" localSheetId="19">#REF!</definedName>
    <definedName name="A1_" localSheetId="3">#REF!</definedName>
    <definedName name="A1_">#REF!</definedName>
    <definedName name="A10_" localSheetId="2">#REF!</definedName>
    <definedName name="A10_" localSheetId="7">#REF!</definedName>
    <definedName name="A10_" localSheetId="15">#REF!</definedName>
    <definedName name="A10_" localSheetId="5">#REF!</definedName>
    <definedName name="A10_" localSheetId="13">#REF!</definedName>
    <definedName name="A10_" localSheetId="11">#REF!</definedName>
    <definedName name="A10_" localSheetId="19">#REF!</definedName>
    <definedName name="A10_" localSheetId="3">#REF!</definedName>
    <definedName name="A10_">#REF!</definedName>
    <definedName name="A13_" localSheetId="2">#REF!</definedName>
    <definedName name="A13_" localSheetId="7">#REF!</definedName>
    <definedName name="A13_" localSheetId="15">#REF!</definedName>
    <definedName name="A13_" localSheetId="11">#REF!</definedName>
    <definedName name="A13_" localSheetId="19">#REF!</definedName>
    <definedName name="A13_" localSheetId="3">#REF!</definedName>
    <definedName name="A13_">#REF!</definedName>
    <definedName name="A2_" localSheetId="2">#REF!</definedName>
    <definedName name="A2_" localSheetId="7">#REF!</definedName>
    <definedName name="A2_" localSheetId="15">#REF!</definedName>
    <definedName name="A2_" localSheetId="11">#REF!</definedName>
    <definedName name="A2_" localSheetId="19">#REF!</definedName>
    <definedName name="A2_" localSheetId="3">#REF!</definedName>
    <definedName name="A2_">#REF!</definedName>
    <definedName name="A3_" localSheetId="2">#REF!</definedName>
    <definedName name="A3_" localSheetId="7">#REF!</definedName>
    <definedName name="A3_" localSheetId="15">#REF!</definedName>
    <definedName name="A3_" localSheetId="11">#REF!</definedName>
    <definedName name="A3_" localSheetId="19">#REF!</definedName>
    <definedName name="A3_" localSheetId="3">#REF!</definedName>
    <definedName name="A3_">#REF!</definedName>
    <definedName name="A4_" localSheetId="2">#REF!</definedName>
    <definedName name="A4_" localSheetId="7">#REF!</definedName>
    <definedName name="A4_" localSheetId="15">#REF!</definedName>
    <definedName name="A4_" localSheetId="11">#REF!</definedName>
    <definedName name="A4_" localSheetId="19">#REF!</definedName>
    <definedName name="A4_" localSheetId="3">#REF!</definedName>
    <definedName name="A4_">#REF!</definedName>
    <definedName name="A5_" localSheetId="2">#REF!</definedName>
    <definedName name="A5_" localSheetId="7">#REF!</definedName>
    <definedName name="A5_" localSheetId="15">#REF!</definedName>
    <definedName name="A5_" localSheetId="11">#REF!</definedName>
    <definedName name="A5_" localSheetId="19">#REF!</definedName>
    <definedName name="A5_" localSheetId="3">#REF!</definedName>
    <definedName name="A5_">#REF!</definedName>
    <definedName name="A6_" localSheetId="2">#REF!</definedName>
    <definedName name="A6_" localSheetId="7">#REF!</definedName>
    <definedName name="A6_" localSheetId="15">#REF!</definedName>
    <definedName name="A6_" localSheetId="11">#REF!</definedName>
    <definedName name="A6_" localSheetId="19">#REF!</definedName>
    <definedName name="A6_" localSheetId="3">#REF!</definedName>
    <definedName name="A6_">#REF!</definedName>
    <definedName name="A7_" localSheetId="2">#REF!</definedName>
    <definedName name="A7_" localSheetId="7">#REF!</definedName>
    <definedName name="A7_" localSheetId="15">#REF!</definedName>
    <definedName name="A7_" localSheetId="11">#REF!</definedName>
    <definedName name="A7_" localSheetId="19">#REF!</definedName>
    <definedName name="A7_" localSheetId="3">#REF!</definedName>
    <definedName name="A7_">#REF!</definedName>
    <definedName name="A8_" localSheetId="2">#REF!</definedName>
    <definedName name="A8_" localSheetId="7">#REF!</definedName>
    <definedName name="A8_" localSheetId="15">#REF!</definedName>
    <definedName name="A8_" localSheetId="11">#REF!</definedName>
    <definedName name="A8_" localSheetId="19">#REF!</definedName>
    <definedName name="A8_" localSheetId="3">#REF!</definedName>
    <definedName name="A8_">#REF!</definedName>
    <definedName name="A9_" localSheetId="2">#REF!</definedName>
    <definedName name="A9_" localSheetId="7">#REF!</definedName>
    <definedName name="A9_" localSheetId="15">#REF!</definedName>
    <definedName name="A9_" localSheetId="11">#REF!</definedName>
    <definedName name="A9_" localSheetId="19">#REF!</definedName>
    <definedName name="A9_" localSheetId="3">#REF!</definedName>
    <definedName name="A9_">#REF!</definedName>
    <definedName name="A981..A1000_" localSheetId="2">[10]cop!#REF!</definedName>
    <definedName name="A981..A1000_" localSheetId="7">[10]cop!#REF!</definedName>
    <definedName name="A981..A1000_" localSheetId="15">[10]cop!#REF!</definedName>
    <definedName name="A981..A1000_" localSheetId="5">[10]cop!#REF!</definedName>
    <definedName name="A981..A1000_" localSheetId="13">[10]cop!#REF!</definedName>
    <definedName name="A981..A1000_" localSheetId="11">[10]cop!#REF!</definedName>
    <definedName name="A981..A1000_" localSheetId="19">[10]cop!#REF!</definedName>
    <definedName name="A981..A1000_" localSheetId="3">[10]cop!#REF!</definedName>
    <definedName name="A981..A1000_">[10]cop!#REF!</definedName>
    <definedName name="aa">#N/A</definedName>
    <definedName name="aa_22">#N/A</definedName>
    <definedName name="aaa">'[11]Print Menu'!$A$4</definedName>
    <definedName name="aaaa">#N/A</definedName>
    <definedName name="AC_PA">#N/A</definedName>
    <definedName name="acc">#N/A</definedName>
    <definedName name="AccountCode">#N/A</definedName>
    <definedName name="act">#N/A</definedName>
    <definedName name="Activacion">#N/A</definedName>
    <definedName name="Activacion_FUNDACION">#N/A</definedName>
    <definedName name="Activacion_PROCESO">#N/A</definedName>
    <definedName name="addtestkeys">#N/A</definedName>
    <definedName name="addtestvkey">#N/A</definedName>
    <definedName name="adsf">#N/A</definedName>
    <definedName name="adtesthkey">#N/A</definedName>
    <definedName name="advances">#N/A</definedName>
    <definedName name="AFTER_MARKET_SALES_GENERINC_000_s">#N/A</definedName>
    <definedName name="AFTER_MARKET_SALES_GENERINC_000_s_DISTR">#N/A</definedName>
    <definedName name="AFTER_MARKET_SALES_GENERINC_000_s_I_G">#N/A</definedName>
    <definedName name="AFTER_MARKET_SALES_GENERINC_000_s_THDP">#N/A</definedName>
    <definedName name="AFTRM">#N/A</definedName>
    <definedName name="AgeLoss">#N/A</definedName>
    <definedName name="agfgtg" hidden="1">#N/A</definedName>
    <definedName name="Aging">#N/A</definedName>
    <definedName name="Aging1">#N/A</definedName>
    <definedName name="Aging10">#N/A</definedName>
    <definedName name="Aging2">#N/A</definedName>
    <definedName name="Aging3">#N/A</definedName>
    <definedName name="Aging4">#N/A</definedName>
    <definedName name="Aging5">#N/A</definedName>
    <definedName name="Aging6">#N/A</definedName>
    <definedName name="Aging7">#N/A</definedName>
    <definedName name="Aging8">#N/A</definedName>
    <definedName name="Aging9">#N/A</definedName>
    <definedName name="AgingAR">#N/A</definedName>
    <definedName name="AgingArea">#N/A</definedName>
    <definedName name="AgingCheck">#N/A</definedName>
    <definedName name="AgingName">#N/A</definedName>
    <definedName name="AgingSun">#N/A</definedName>
    <definedName name="AgingTotal">#N/A</definedName>
    <definedName name="aircompression">#N/A</definedName>
    <definedName name="AK9ap">#N/A</definedName>
    <definedName name="AK9ap_1">#N/A</definedName>
    <definedName name="AK9ap_5">#N/A</definedName>
    <definedName name="ALP">#N/A</definedName>
    <definedName name="AMG_AS">#N/A</definedName>
    <definedName name="AMG_PA">#N/A</definedName>
    <definedName name="amy">#N/A</definedName>
    <definedName name="ANNEB1" localSheetId="2">[7]CMA!#REF!</definedName>
    <definedName name="ANNEB1" localSheetId="7">[7]CMA!#REF!</definedName>
    <definedName name="ANNEB1" localSheetId="15">[7]CMA!#REF!</definedName>
    <definedName name="ANNEB1" localSheetId="11">[7]CMA!#REF!</definedName>
    <definedName name="ANNEB1" localSheetId="19">[7]CMA!#REF!</definedName>
    <definedName name="ANNEB1" localSheetId="3">[7]CMA!#REF!</definedName>
    <definedName name="ANNEB1">[7]CMA!#REF!</definedName>
    <definedName name="ANNEXA" localSheetId="2">[8]CMA!#REF!</definedName>
    <definedName name="ANNEXA" localSheetId="7">[8]CMA!#REF!</definedName>
    <definedName name="ANNEXA" localSheetId="15">[8]CMA!#REF!</definedName>
    <definedName name="ANNEXA" localSheetId="11">[8]CMA!#REF!</definedName>
    <definedName name="ANNEXA" localSheetId="19">[8]CMA!#REF!</definedName>
    <definedName name="ANNEXA" localSheetId="3">[8]CMA!#REF!</definedName>
    <definedName name="ANNEXA">[8]CMA!#REF!</definedName>
    <definedName name="ANNEXA1" localSheetId="2">[12]CMA!#REF!</definedName>
    <definedName name="ANNEXA1" localSheetId="7">[12]CMA!#REF!</definedName>
    <definedName name="ANNEXA1" localSheetId="15">[12]CMA!#REF!</definedName>
    <definedName name="ANNEXA1" localSheetId="11">[12]CMA!#REF!</definedName>
    <definedName name="ANNEXA1" localSheetId="19">[12]CMA!#REF!</definedName>
    <definedName name="ANNEXA1" localSheetId="3">[12]CMA!#REF!</definedName>
    <definedName name="ANNEXA1">[12]CMA!#REF!</definedName>
    <definedName name="ANNEXB" localSheetId="2">[8]CMA!#REF!</definedName>
    <definedName name="ANNEXB" localSheetId="7">[8]CMA!#REF!</definedName>
    <definedName name="ANNEXB" localSheetId="15">[8]CMA!#REF!</definedName>
    <definedName name="ANNEXB" localSheetId="11">[8]CMA!#REF!</definedName>
    <definedName name="ANNEXB" localSheetId="19">[8]CMA!#REF!</definedName>
    <definedName name="ANNEXB" localSheetId="3">[8]CMA!#REF!</definedName>
    <definedName name="ANNEXB">[8]CMA!#REF!</definedName>
    <definedName name="ANNEXC" localSheetId="2">[8]CMA!#REF!</definedName>
    <definedName name="ANNEXC" localSheetId="7">[8]CMA!#REF!</definedName>
    <definedName name="ANNEXC" localSheetId="15">[8]CMA!#REF!</definedName>
    <definedName name="ANNEXC" localSheetId="11">[8]CMA!#REF!</definedName>
    <definedName name="ANNEXC" localSheetId="19">[8]CMA!#REF!</definedName>
    <definedName name="ANNEXC" localSheetId="3">[8]CMA!#REF!</definedName>
    <definedName name="ANNEXC">[8]CMA!#REF!</definedName>
    <definedName name="ANNEXD" localSheetId="2">[8]CMA!#REF!</definedName>
    <definedName name="ANNEXD" localSheetId="7">[8]CMA!#REF!</definedName>
    <definedName name="ANNEXD" localSheetId="15">[8]CMA!#REF!</definedName>
    <definedName name="ANNEXD" localSheetId="11">[8]CMA!#REF!</definedName>
    <definedName name="ANNEXD" localSheetId="19">[8]CMA!#REF!</definedName>
    <definedName name="ANNEXD" localSheetId="3">[8]CMA!#REF!</definedName>
    <definedName name="ANNEXD">[8]CMA!#REF!</definedName>
    <definedName name="ANNEXE" localSheetId="2">[8]CMA!#REF!</definedName>
    <definedName name="ANNEXE" localSheetId="7">[8]CMA!#REF!</definedName>
    <definedName name="ANNEXE" localSheetId="15">[8]CMA!#REF!</definedName>
    <definedName name="ANNEXE" localSheetId="11">[8]CMA!#REF!</definedName>
    <definedName name="ANNEXE" localSheetId="19">[8]CMA!#REF!</definedName>
    <definedName name="ANNEXE" localSheetId="3">[8]CMA!#REF!</definedName>
    <definedName name="ANNEXE">[8]CMA!#REF!</definedName>
    <definedName name="ANNEXE1" localSheetId="2">[7]CMA!#REF!</definedName>
    <definedName name="ANNEXE1" localSheetId="7">[7]CMA!#REF!</definedName>
    <definedName name="ANNEXE1" localSheetId="15">[7]CMA!#REF!</definedName>
    <definedName name="ANNEXE1" localSheetId="11">[7]CMA!#REF!</definedName>
    <definedName name="ANNEXE1" localSheetId="19">[7]CMA!#REF!</definedName>
    <definedName name="ANNEXE1" localSheetId="3">[7]CMA!#REF!</definedName>
    <definedName name="ANNEXE1">[7]CMA!#REF!</definedName>
    <definedName name="ANNEXF" localSheetId="2">[8]CMA!#REF!</definedName>
    <definedName name="ANNEXF" localSheetId="7">[8]CMA!#REF!</definedName>
    <definedName name="ANNEXF" localSheetId="15">[8]CMA!#REF!</definedName>
    <definedName name="ANNEXF" localSheetId="11">[8]CMA!#REF!</definedName>
    <definedName name="ANNEXF" localSheetId="19">[8]CMA!#REF!</definedName>
    <definedName name="ANNEXF" localSheetId="3">[8]CMA!#REF!</definedName>
    <definedName name="ANNEXF">[8]CMA!#REF!</definedName>
    <definedName name="ANNEXG" localSheetId="2">[8]CMA!#REF!</definedName>
    <definedName name="ANNEXG" localSheetId="7">[8]CMA!#REF!</definedName>
    <definedName name="ANNEXG" localSheetId="15">[8]CMA!#REF!</definedName>
    <definedName name="ANNEXG" localSheetId="11">[8]CMA!#REF!</definedName>
    <definedName name="ANNEXG" localSheetId="19">[8]CMA!#REF!</definedName>
    <definedName name="ANNEXG" localSheetId="3">[8]CMA!#REF!</definedName>
    <definedName name="ANNEXG">[8]CMA!#REF!</definedName>
    <definedName name="ANNEXH" localSheetId="2">[8]CMA!#REF!</definedName>
    <definedName name="ANNEXH" localSheetId="7">[8]CMA!#REF!</definedName>
    <definedName name="ANNEXH" localSheetId="15">[8]CMA!#REF!</definedName>
    <definedName name="ANNEXH" localSheetId="11">[8]CMA!#REF!</definedName>
    <definedName name="ANNEXH" localSheetId="19">[8]CMA!#REF!</definedName>
    <definedName name="ANNEXH" localSheetId="3">[8]CMA!#REF!</definedName>
    <definedName name="ANNEXH">[8]CMA!#REF!</definedName>
    <definedName name="ANNEXI" localSheetId="2">[8]CMA!#REF!</definedName>
    <definedName name="ANNEXI" localSheetId="7">[8]CMA!#REF!</definedName>
    <definedName name="ANNEXI" localSheetId="15">[8]CMA!#REF!</definedName>
    <definedName name="ANNEXI" localSheetId="11">[8]CMA!#REF!</definedName>
    <definedName name="ANNEXI" localSheetId="19">[8]CMA!#REF!</definedName>
    <definedName name="ANNEXI" localSheetId="3">[8]CMA!#REF!</definedName>
    <definedName name="ANNEXI">[8]CMA!#REF!</definedName>
    <definedName name="ANNEXIV">#N/A</definedName>
    <definedName name="ANNEXJ" localSheetId="2">[8]CMA!#REF!</definedName>
    <definedName name="ANNEXJ" localSheetId="7">[8]CMA!#REF!</definedName>
    <definedName name="ANNEXJ" localSheetId="15">[8]CMA!#REF!</definedName>
    <definedName name="ANNEXJ" localSheetId="11">[8]CMA!#REF!</definedName>
    <definedName name="ANNEXJ" localSheetId="19">[8]CMA!#REF!</definedName>
    <definedName name="ANNEXJ" localSheetId="3">[8]CMA!#REF!</definedName>
    <definedName name="ANNEXJ">[8]CMA!#REF!</definedName>
    <definedName name="annx" localSheetId="2">#REF!</definedName>
    <definedName name="annx" localSheetId="7">#REF!</definedName>
    <definedName name="annx" localSheetId="15">#REF!</definedName>
    <definedName name="annx" localSheetId="0">#REF!</definedName>
    <definedName name="annx" localSheetId="5">#REF!</definedName>
    <definedName name="annx" localSheetId="13">#REF!</definedName>
    <definedName name="annx" localSheetId="11">#REF!</definedName>
    <definedName name="annx" localSheetId="19">#REF!</definedName>
    <definedName name="annx" localSheetId="3">#REF!</definedName>
    <definedName name="annx">#REF!</definedName>
    <definedName name="anothergraph2" hidden="1">#N/A</definedName>
    <definedName name="anv">#N/A</definedName>
    <definedName name="ap_1">#N/A</definedName>
    <definedName name="ap_5">#N/A</definedName>
    <definedName name="app">#N/A</definedName>
    <definedName name="app_10">#N/A</definedName>
    <definedName name="app_22">#N/A</definedName>
    <definedName name="appl">#N/A</definedName>
    <definedName name="appl_1">#N/A</definedName>
    <definedName name="appl_10">#N/A</definedName>
    <definedName name="appl_14">#N/A</definedName>
    <definedName name="appl_15">#N/A</definedName>
    <definedName name="appl_2">#N/A</definedName>
    <definedName name="appl_22">#N/A</definedName>
    <definedName name="appl_3">#N/A</definedName>
    <definedName name="APPLICATION">#N/A</definedName>
    <definedName name="apr">#N/A</definedName>
    <definedName name="area_101">#N/A</definedName>
    <definedName name="area_101_10">#N/A</definedName>
    <definedName name="area_101_22">#N/A</definedName>
    <definedName name="AREA_102">#N/A</definedName>
    <definedName name="AREA_102_10">#N/A</definedName>
    <definedName name="AREA_102_22">#N/A</definedName>
    <definedName name="AREA_103">#N/A</definedName>
    <definedName name="AREA_103_10">#N/A</definedName>
    <definedName name="AREA_103_22">#N/A</definedName>
    <definedName name="AREA_104">#N/A</definedName>
    <definedName name="AREA_104_10">#N/A</definedName>
    <definedName name="AREA_104_22">#N/A</definedName>
    <definedName name="AREA_105">#N/A</definedName>
    <definedName name="AREA_105_10">#N/A</definedName>
    <definedName name="AREA_105_22">#N/A</definedName>
    <definedName name="AREA_106">#N/A</definedName>
    <definedName name="AREA_106_10">#N/A</definedName>
    <definedName name="AREA_106_22">#N/A</definedName>
    <definedName name="AREA_201">#N/A</definedName>
    <definedName name="AREA_201_10">#N/A</definedName>
    <definedName name="AREA_201_22">#N/A</definedName>
    <definedName name="AREA_202">#N/A</definedName>
    <definedName name="AREA_202_10">#N/A</definedName>
    <definedName name="AREA_202_22">#N/A</definedName>
    <definedName name="AREA_203">#N/A</definedName>
    <definedName name="AREA_203_10">#N/A</definedName>
    <definedName name="AREA_203_22">#N/A</definedName>
    <definedName name="AREA_301">#N/A</definedName>
    <definedName name="AREA_301_10">#N/A</definedName>
    <definedName name="AREA_301_22">#N/A</definedName>
    <definedName name="AREA_302">#N/A</definedName>
    <definedName name="AREA_302_10">#N/A</definedName>
    <definedName name="AREA_302_22">#N/A</definedName>
    <definedName name="AREA_303">#N/A</definedName>
    <definedName name="AREA_303_10">#N/A</definedName>
    <definedName name="AREA_303_22">#N/A</definedName>
    <definedName name="AREA_401">#N/A</definedName>
    <definedName name="AREA_401_10">#N/A</definedName>
    <definedName name="AREA_401_22">#N/A</definedName>
    <definedName name="AREA_402">#N/A</definedName>
    <definedName name="AREA_402_10">#N/A</definedName>
    <definedName name="AREA_402_22">#N/A</definedName>
    <definedName name="area15">#N/A</definedName>
    <definedName name="area15_22">#N/A</definedName>
    <definedName name="area7">#N/A</definedName>
    <definedName name="area7_22">#N/A</definedName>
    <definedName name="AS_PA">#N/A</definedName>
    <definedName name="AS2DocOpenMode" hidden="1">"AS2DocumentEdit"</definedName>
    <definedName name="ASAT">#N/A</definedName>
    <definedName name="ASAT_22">#N/A</definedName>
    <definedName name="asdf">#N/A</definedName>
    <definedName name="ASDSDS">#N/A</definedName>
    <definedName name="asdz">#N/A</definedName>
    <definedName name="ass_cc">#N/A</definedName>
    <definedName name="Asset">#N/A</definedName>
    <definedName name="asss">#N/A</definedName>
    <definedName name="assum1" localSheetId="2">[8]CMA!#REF!</definedName>
    <definedName name="assum1" localSheetId="22">[8]CMA!#REF!</definedName>
    <definedName name="assum1" localSheetId="7">[8]CMA!#REF!</definedName>
    <definedName name="assum1" localSheetId="15">[8]CMA!#REF!</definedName>
    <definedName name="assum1" localSheetId="0">[8]CMA!#REF!</definedName>
    <definedName name="assum1" localSheetId="5">[8]CMA!#REF!</definedName>
    <definedName name="assum1" localSheetId="13">[8]CMA!#REF!</definedName>
    <definedName name="assum1" localSheetId="11">[8]CMA!#REF!</definedName>
    <definedName name="assum1" localSheetId="19">[8]CMA!#REF!</definedName>
    <definedName name="assum1" localSheetId="3">[8]CMA!#REF!</definedName>
    <definedName name="assum1">[8]CMA!#REF!</definedName>
    <definedName name="audit">#N/A</definedName>
    <definedName name="aug">#N/A</definedName>
    <definedName name="AVNLG">#N/A</definedName>
    <definedName name="B" localSheetId="2">'[1]#exist'!#REF!</definedName>
    <definedName name="B" localSheetId="7">'[1]#exist'!#REF!</definedName>
    <definedName name="B" localSheetId="15">'[1]#exist'!#REF!</definedName>
    <definedName name="B" localSheetId="0">'[1]#exist'!#REF!</definedName>
    <definedName name="B" localSheetId="5">'[1]#exist'!#REF!</definedName>
    <definedName name="B" localSheetId="13">'[1]#exist'!#REF!</definedName>
    <definedName name="B" localSheetId="11">'[1]#exist'!#REF!</definedName>
    <definedName name="B" localSheetId="19">'[1]#exist'!#REF!</definedName>
    <definedName name="B" localSheetId="3">'[1]#exist'!#REF!</definedName>
    <definedName name="B">'[1]#exist'!#REF!</definedName>
    <definedName name="Balance1">#N/A</definedName>
    <definedName name="Balance2">#N/A</definedName>
    <definedName name="balsheet">#N/A</definedName>
    <definedName name="balsheet_1">#N/A</definedName>
    <definedName name="baseyr">'[11]Forecast-Input'!$E1</definedName>
    <definedName name="basic" localSheetId="2">[8]CMA!#REF!</definedName>
    <definedName name="basic" localSheetId="7">[8]CMA!#REF!</definedName>
    <definedName name="basic" localSheetId="15">[8]CMA!#REF!</definedName>
    <definedName name="basic" localSheetId="0">[8]CMA!#REF!</definedName>
    <definedName name="basic" localSheetId="5">[8]CMA!#REF!</definedName>
    <definedName name="basic" localSheetId="13">[8]CMA!#REF!</definedName>
    <definedName name="basic" localSheetId="11">[8]CMA!#REF!</definedName>
    <definedName name="basic" localSheetId="19">[8]CMA!#REF!</definedName>
    <definedName name="basic" localSheetId="3">[8]CMA!#REF!</definedName>
    <definedName name="basic">[8]CMA!#REF!</definedName>
    <definedName name="bbbb">#N/A</definedName>
    <definedName name="bbbbbbbb" hidden="1">#N/A</definedName>
    <definedName name="bbbbbbbbbbbbbbb" hidden="1">#N/A</definedName>
    <definedName name="bbrh55" hidden="1">#N/A</definedName>
    <definedName name="BCHART" hidden="1">#N/A</definedName>
    <definedName name="bdfgthjy7" hidden="1">#N/A</definedName>
    <definedName name="bdgghdgg5" hidden="1">#N/A</definedName>
    <definedName name="begavg">[11]Valuation!$Y$15</definedName>
    <definedName name="Beowulf" hidden="1">#N/A</definedName>
    <definedName name="bfgb5g5e" hidden="1">#N/A</definedName>
    <definedName name="bgfbf5" hidden="1">#N/A</definedName>
    <definedName name="bggdhrth655" hidden="1">#N/A</definedName>
    <definedName name="bghnmh" hidden="1">#N/A</definedName>
    <definedName name="bhaskar">#N/A</definedName>
    <definedName name="bhaskar_22">#N/A</definedName>
    <definedName name="BigTestSource">#N/A</definedName>
    <definedName name="BigTestTarget">#N/A</definedName>
    <definedName name="blower">#N/A</definedName>
    <definedName name="blower_22">#N/A</definedName>
    <definedName name="BLRCRS">#N/A</definedName>
    <definedName name="BLRCRS_22">#N/A</definedName>
    <definedName name="BLRDRS">#N/A</definedName>
    <definedName name="BLRDRS_22">#N/A</definedName>
    <definedName name="BLROD">#N/A</definedName>
    <definedName name="BLROD_22">#N/A</definedName>
    <definedName name="BLRTB">#N/A</definedName>
    <definedName name="BLRTB_22">#N/A</definedName>
    <definedName name="BLSCH1_4">#N/A</definedName>
    <definedName name="BLSCH1_4_22">#N/A</definedName>
    <definedName name="BLSCH6_7">#N/A</definedName>
    <definedName name="BLSCH6_7_22">#N/A</definedName>
    <definedName name="BLSCH8">#N/A</definedName>
    <definedName name="BLSCH8_22">#N/A</definedName>
    <definedName name="BLSRNG">#N/A</definedName>
    <definedName name="BLSRNG_22">#N/A</definedName>
    <definedName name="BLSSCH">#N/A</definedName>
    <definedName name="BLSSCH_22">#N/A</definedName>
    <definedName name="BLWORK">#N/A</definedName>
    <definedName name="BLWORK_22">#N/A</definedName>
    <definedName name="BOMDRS">#N/A</definedName>
    <definedName name="BOMDRS_1">#N/A</definedName>
    <definedName name="BOMDRS_22">#N/A</definedName>
    <definedName name="BOMDRS_5">#N/A</definedName>
    <definedName name="BOMODOC">#N/A</definedName>
    <definedName name="BOMODOC_22">#N/A</definedName>
    <definedName name="BOMTB">#N/A</definedName>
    <definedName name="BOMTB_22">#N/A</definedName>
    <definedName name="BSDATA_1">#N/A</definedName>
    <definedName name="BSDATA_5">#N/A</definedName>
    <definedName name="BSHistForc" localSheetId="2">#REF!</definedName>
    <definedName name="BSHistForc" localSheetId="7">#REF!</definedName>
    <definedName name="BSHistForc" localSheetId="15">#REF!</definedName>
    <definedName name="BSHistForc" localSheetId="0">#REF!</definedName>
    <definedName name="BSHistForc" localSheetId="5">#REF!</definedName>
    <definedName name="BSHistForc" localSheetId="13">#REF!</definedName>
    <definedName name="BSHistForc" localSheetId="11">#REF!</definedName>
    <definedName name="BSHistForc" localSheetId="19">#REF!</definedName>
    <definedName name="BSHistForc" localSheetId="3">#REF!</definedName>
    <definedName name="BSHistForc">#REF!</definedName>
    <definedName name="BSPRN_1">#N/A</definedName>
    <definedName name="BSPRN_5">#N/A</definedName>
    <definedName name="BURGLARY">#N/A</definedName>
    <definedName name="Bust" localSheetId="2">#REF!</definedName>
    <definedName name="Bust" localSheetId="22">#REF!</definedName>
    <definedName name="Bust">#REF!</definedName>
    <definedName name="butterGhee">#N/A</definedName>
    <definedName name="Button3_Click">[13]!Button3_Click</definedName>
    <definedName name="C_" localSheetId="2">#REF!</definedName>
    <definedName name="C_" localSheetId="7">#REF!</definedName>
    <definedName name="C_" localSheetId="15">#REF!</definedName>
    <definedName name="C_" localSheetId="0">#REF!</definedName>
    <definedName name="C_" localSheetId="5">#REF!</definedName>
    <definedName name="C_" localSheetId="13">#REF!</definedName>
    <definedName name="C_" localSheetId="11">#REF!</definedName>
    <definedName name="C_" localSheetId="19">#REF!</definedName>
    <definedName name="C_" localSheetId="3">#REF!</definedName>
    <definedName name="C_">#REF!</definedName>
    <definedName name="CANOATAR">#N/A</definedName>
    <definedName name="CANOATAR_10">#N/A</definedName>
    <definedName name="CANOLA">#N/A</definedName>
    <definedName name="CANOLA_10">#N/A</definedName>
    <definedName name="CAPA">#N/A</definedName>
    <definedName name="capacity">[14]Exp!$A$3:$K$3</definedName>
    <definedName name="Capacity.">[15]Expenses!$A$1:$M$3</definedName>
    <definedName name="capch">[11]Valuation!$U$13</definedName>
    <definedName name="capital" localSheetId="2">#REF!</definedName>
    <definedName name="capital" localSheetId="7">#REF!</definedName>
    <definedName name="capital" localSheetId="15">#REF!</definedName>
    <definedName name="capital" localSheetId="0">#REF!</definedName>
    <definedName name="capital" localSheetId="5">#REF!</definedName>
    <definedName name="capital" localSheetId="13">#REF!</definedName>
    <definedName name="capital" localSheetId="11">#REF!</definedName>
    <definedName name="capital" localSheetId="19">#REF!</definedName>
    <definedName name="capital" localSheetId="3">#REF!</definedName>
    <definedName name="capital">#REF!</definedName>
    <definedName name="capital_1" localSheetId="2">#REF!</definedName>
    <definedName name="capital_1" localSheetId="7">#REF!</definedName>
    <definedName name="capital_1" localSheetId="15">#REF!</definedName>
    <definedName name="capital_1" localSheetId="5">#REF!</definedName>
    <definedName name="capital_1" localSheetId="13">#REF!</definedName>
    <definedName name="capital_1" localSheetId="11">#REF!</definedName>
    <definedName name="capital_1" localSheetId="19">#REF!</definedName>
    <definedName name="capital_1" localSheetId="3">#REF!</definedName>
    <definedName name="capital_1">#REF!</definedName>
    <definedName name="capital_25" localSheetId="2">#REF!</definedName>
    <definedName name="capital_25" localSheetId="7">#REF!</definedName>
    <definedName name="capital_25" localSheetId="15">#REF!</definedName>
    <definedName name="capital_25" localSheetId="11">#REF!</definedName>
    <definedName name="capital_25" localSheetId="19">#REF!</definedName>
    <definedName name="capital_25" localSheetId="3">#REF!</definedName>
    <definedName name="capital_25">#REF!</definedName>
    <definedName name="capital_34" localSheetId="2">#REF!</definedName>
    <definedName name="capital_34" localSheetId="7">#REF!</definedName>
    <definedName name="capital_34" localSheetId="15">#REF!</definedName>
    <definedName name="capital_34" localSheetId="11">#REF!</definedName>
    <definedName name="capital_34" localSheetId="19">#REF!</definedName>
    <definedName name="capital_34" localSheetId="3">#REF!</definedName>
    <definedName name="capital_34">#REF!</definedName>
    <definedName name="capital_48" localSheetId="2">#REF!</definedName>
    <definedName name="capital_48" localSheetId="7">#REF!</definedName>
    <definedName name="capital_48" localSheetId="15">#REF!</definedName>
    <definedName name="capital_48" localSheetId="11">#REF!</definedName>
    <definedName name="capital_48" localSheetId="19">#REF!</definedName>
    <definedName name="capital_48" localSheetId="3">#REF!</definedName>
    <definedName name="capital_48">#REF!</definedName>
    <definedName name="capital_49" localSheetId="2">#REF!</definedName>
    <definedName name="capital_49" localSheetId="7">#REF!</definedName>
    <definedName name="capital_49" localSheetId="15">#REF!</definedName>
    <definedName name="capital_49" localSheetId="11">#REF!</definedName>
    <definedName name="capital_49" localSheetId="19">#REF!</definedName>
    <definedName name="capital_49" localSheetId="3">#REF!</definedName>
    <definedName name="capital_49">#REF!</definedName>
    <definedName name="capital_5" localSheetId="2">#REF!</definedName>
    <definedName name="capital_5" localSheetId="7">#REF!</definedName>
    <definedName name="capital_5" localSheetId="15">#REF!</definedName>
    <definedName name="capital_5" localSheetId="11">#REF!</definedName>
    <definedName name="capital_5" localSheetId="19">#REF!</definedName>
    <definedName name="capital_5" localSheetId="3">#REF!</definedName>
    <definedName name="capital_5">#REF!</definedName>
    <definedName name="capital_59" localSheetId="2">#REF!</definedName>
    <definedName name="capital_59" localSheetId="7">#REF!</definedName>
    <definedName name="capital_59" localSheetId="15">#REF!</definedName>
    <definedName name="capital_59" localSheetId="11">#REF!</definedName>
    <definedName name="capital_59" localSheetId="19">#REF!</definedName>
    <definedName name="capital_59" localSheetId="3">#REF!</definedName>
    <definedName name="capital_59">#REF!</definedName>
    <definedName name="capitaladj" localSheetId="2">#REF!</definedName>
    <definedName name="capitaladj" localSheetId="7">#REF!</definedName>
    <definedName name="capitaladj" localSheetId="15">#REF!</definedName>
    <definedName name="capitaladj" localSheetId="11">#REF!</definedName>
    <definedName name="capitaladj" localSheetId="19">#REF!</definedName>
    <definedName name="capitaladj" localSheetId="3">#REF!</definedName>
    <definedName name="capitaladj">#REF!</definedName>
    <definedName name="capitaladj_1" localSheetId="2">#REF!</definedName>
    <definedName name="capitaladj_1" localSheetId="7">#REF!</definedName>
    <definedName name="capitaladj_1" localSheetId="15">#REF!</definedName>
    <definedName name="capitaladj_1" localSheetId="11">#REF!</definedName>
    <definedName name="capitaladj_1" localSheetId="19">#REF!</definedName>
    <definedName name="capitaladj_1" localSheetId="3">#REF!</definedName>
    <definedName name="capitaladj_1">#REF!</definedName>
    <definedName name="capitaladj_25" localSheetId="2">#REF!</definedName>
    <definedName name="capitaladj_25" localSheetId="7">#REF!</definedName>
    <definedName name="capitaladj_25" localSheetId="15">#REF!</definedName>
    <definedName name="capitaladj_25" localSheetId="11">#REF!</definedName>
    <definedName name="capitaladj_25" localSheetId="19">#REF!</definedName>
    <definedName name="capitaladj_25" localSheetId="3">#REF!</definedName>
    <definedName name="capitaladj_25">#REF!</definedName>
    <definedName name="capitaladj_49" localSheetId="2">#REF!</definedName>
    <definedName name="capitaladj_49" localSheetId="7">#REF!</definedName>
    <definedName name="capitaladj_49" localSheetId="15">#REF!</definedName>
    <definedName name="capitaladj_49" localSheetId="11">#REF!</definedName>
    <definedName name="capitaladj_49" localSheetId="19">#REF!</definedName>
    <definedName name="capitaladj_49" localSheetId="3">#REF!</definedName>
    <definedName name="capitaladj_49">#REF!</definedName>
    <definedName name="CapitalLink">[16]Capital_by_Years_Valuation!$B$8</definedName>
    <definedName name="car">#N/A</definedName>
    <definedName name="casein">#N/A</definedName>
    <definedName name="CASH">#N/A</definedName>
    <definedName name="cash1">#N/A</definedName>
    <definedName name="cash1_1">#N/A</definedName>
    <definedName name="cash1_10">#N/A</definedName>
    <definedName name="cash1_14">#N/A</definedName>
    <definedName name="cash1_15">#N/A</definedName>
    <definedName name="cash1_19">#N/A</definedName>
    <definedName name="cash1_2">#N/A</definedName>
    <definedName name="cash1_22">#N/A</definedName>
    <definedName name="cash1_3">#N/A</definedName>
    <definedName name="cash2">#N/A</definedName>
    <definedName name="cash2_1">#N/A</definedName>
    <definedName name="cash2_10">#N/A</definedName>
    <definedName name="cash2_14">#N/A</definedName>
    <definedName name="cash2_15">#N/A</definedName>
    <definedName name="cash2_19">#N/A</definedName>
    <definedName name="cash2_2">#N/A</definedName>
    <definedName name="cash2_22">#N/A</definedName>
    <definedName name="cash2_3">#N/A</definedName>
    <definedName name="cashflow">#N/A</definedName>
    <definedName name="cashflow_22">#N/A</definedName>
    <definedName name="CASHFLOW1">#N/A</definedName>
    <definedName name="CASHFLOW2">#N/A</definedName>
    <definedName name="castingline">#N/A</definedName>
    <definedName name="cat1_22">#N/A</definedName>
    <definedName name="cat2_22">#N/A</definedName>
    <definedName name="CC">[17]Sheet2!$C$832</definedName>
    <definedName name="CC_1">#N/A</definedName>
    <definedName name="CC_14">#N/A</definedName>
    <definedName name="CC_15">#N/A</definedName>
    <definedName name="CC_19">#N/A</definedName>
    <definedName name="CC_2">#N/A</definedName>
    <definedName name="CC_22">#N/A</definedName>
    <definedName name="CC_3">#N/A</definedName>
    <definedName name="cccc">#N/A</definedName>
    <definedName name="ccccc6" hidden="1">#N/A</definedName>
    <definedName name="cccccccccc" localSheetId="2">'[4]P&amp;L'!#REF!</definedName>
    <definedName name="cccccccccc" localSheetId="7">'[4]P&amp;L'!#REF!</definedName>
    <definedName name="cccccccccc" localSheetId="15">'[4]P&amp;L'!#REF!</definedName>
    <definedName name="cccccccccc" localSheetId="0">'[4]P&amp;L'!#REF!</definedName>
    <definedName name="cccccccccc" localSheetId="5">'[4]P&amp;L'!#REF!</definedName>
    <definedName name="cccccccccc" localSheetId="13">'[4]P&amp;L'!#REF!</definedName>
    <definedName name="cccccccccc" localSheetId="11">'[4]P&amp;L'!#REF!</definedName>
    <definedName name="cccccccccc" localSheetId="19">'[4]P&amp;L'!#REF!</definedName>
    <definedName name="cccccccccc" localSheetId="3">'[4]P&amp;L'!#REF!</definedName>
    <definedName name="cccccccccc">'[4]P&amp;L'!#REF!</definedName>
    <definedName name="ceka400">#N/A</definedName>
    <definedName name="cert">#N/A</definedName>
    <definedName name="cert_1">#N/A</definedName>
    <definedName name="cert_10">#N/A</definedName>
    <definedName name="cert_14">#N/A</definedName>
    <definedName name="cert_15">#N/A</definedName>
    <definedName name="cert_19">#N/A</definedName>
    <definedName name="cert_2">#N/A</definedName>
    <definedName name="cert_22">#N/A</definedName>
    <definedName name="cert_3">#N/A</definedName>
    <definedName name="CFcomp">#N/A</definedName>
    <definedName name="cfvrsr" hidden="1">#N/A</definedName>
    <definedName name="Chart2" hidden="1">#N/A</definedName>
    <definedName name="Chartt" hidden="1">#N/A</definedName>
    <definedName name="CHECK">#N/A</definedName>
    <definedName name="cheeeseCost">#N/A</definedName>
    <definedName name="chesewhey">#N/A</definedName>
    <definedName name="chip120gar">#N/A</definedName>
    <definedName name="chip120onion">#N/A</definedName>
    <definedName name="chip120pepp">#N/A</definedName>
    <definedName name="chip200">#N/A</definedName>
    <definedName name="cjhsadvgcuy">#N/A</definedName>
    <definedName name="CLEAR_OTHER">#N/A</definedName>
    <definedName name="CLEAR_PL">#N/A</definedName>
    <definedName name="CLUBS_22">#N/A</definedName>
    <definedName name="cma." localSheetId="2">[18]cop!#REF!</definedName>
    <definedName name="cma." localSheetId="7">[18]cop!#REF!</definedName>
    <definedName name="cma." localSheetId="15">[18]cop!#REF!</definedName>
    <definedName name="cma." localSheetId="0">[18]cop!#REF!</definedName>
    <definedName name="cma." localSheetId="5">[18]cop!#REF!</definedName>
    <definedName name="cma." localSheetId="13">[18]cop!#REF!</definedName>
    <definedName name="cma." localSheetId="11">[18]cop!#REF!</definedName>
    <definedName name="cma." localSheetId="19">[18]cop!#REF!</definedName>
    <definedName name="cma." localSheetId="3">[18]cop!#REF!</definedName>
    <definedName name="cma.">[18]cop!#REF!</definedName>
    <definedName name="Code_Structure">#N/A</definedName>
    <definedName name="COGS_Jan04">#N/A</definedName>
    <definedName name="COM">#N/A</definedName>
    <definedName name="COMERCIALES">#N/A</definedName>
    <definedName name="COMERCIALES_10">#N/A</definedName>
    <definedName name="comp">#N/A</definedName>
    <definedName name="comp1">#N/A</definedName>
    <definedName name="Computation_22">#N/A</definedName>
    <definedName name="computers">#N/A</definedName>
    <definedName name="conference">#N/A</definedName>
    <definedName name="Console">#N/A</definedName>
    <definedName name="CONSUMABLE_SALES_OWN_DISTRIB">#N/A</definedName>
    <definedName name="CONSUMABLES_OWN_IG">#N/A</definedName>
    <definedName name="CONSUMABLES_OWN_LABEL">#N/A</definedName>
    <definedName name="CONSUMABLES_SALES_OWN_LABEL_000_s_I_G">#N/A</definedName>
    <definedName name="CONSUMABLES_SALES_OWN_LABEL_000_s_THDP">#N/A</definedName>
    <definedName name="CONTB">#N/A</definedName>
    <definedName name="CONTB_22">#N/A</definedName>
    <definedName name="Continue" localSheetId="2">#REF!</definedName>
    <definedName name="Continue" localSheetId="22">#REF!</definedName>
    <definedName name="Continue">#REF!</definedName>
    <definedName name="convin">#N/A</definedName>
    <definedName name="copqcm3lpd" hidden="1">#N/A</definedName>
    <definedName name="CopySp">#N/A</definedName>
    <definedName name="costAging">#N/A</definedName>
    <definedName name="costCAN">#N/A</definedName>
    <definedName name="costCasted">#N/A</definedName>
    <definedName name="costChip">#N/A</definedName>
    <definedName name="costing">#N/A</definedName>
    <definedName name="CostIngreNC">#N/A</definedName>
    <definedName name="costIWS">#N/A</definedName>
    <definedName name="costLactose">#N/A</definedName>
    <definedName name="costNatCheese">#N/A</definedName>
    <definedName name="costofDW">#N/A</definedName>
    <definedName name="costoflact">#N/A</definedName>
    <definedName name="costofmaterial">#N/A</definedName>
    <definedName name="costofmaterial_22">#N/A</definedName>
    <definedName name="costofutilities">#N/A</definedName>
    <definedName name="costSpread">#N/A</definedName>
    <definedName name="costspreadcaps">#N/A</definedName>
    <definedName name="costspreadchives">#N/A</definedName>
    <definedName name="costWPC">#N/A</definedName>
    <definedName name="cot">[11]wwww!$D$64</definedName>
    <definedName name="cota">[19]Assume!$D$6</definedName>
    <definedName name="cotsw">[11]Assume!$D$6</definedName>
    <definedName name="country">#N/A</definedName>
    <definedName name="country_22">#N/A</definedName>
    <definedName name="countrymaster">#N/A</definedName>
    <definedName name="CRALastYr" localSheetId="2">#REF!</definedName>
    <definedName name="CRALastYr" localSheetId="22">#REF!</definedName>
    <definedName name="CRALastYr">#REF!</definedName>
    <definedName name="credit" localSheetId="2">'[20]Project Cost'!#REF!</definedName>
    <definedName name="credit" localSheetId="22">'[20]Project Cost'!#REF!</definedName>
    <definedName name="credit">'[20]Project Cost'!#REF!</definedName>
    <definedName name="csDesignMode">1</definedName>
    <definedName name="csdffg45" hidden="1">#N/A</definedName>
    <definedName name="Current">#N/A</definedName>
    <definedName name="CurrentDate">#N/A</definedName>
    <definedName name="Customer">#N/A</definedName>
    <definedName name="cvcv">#N/A</definedName>
    <definedName name="cy">[21]Parameters!$B$4</definedName>
    <definedName name="cyd">[21]Parameters!$B$4</definedName>
    <definedName name="d" localSheetId="2">[8]WC!#REF!</definedName>
    <definedName name="d" localSheetId="7">[8]WC!#REF!</definedName>
    <definedName name="d" localSheetId="15">[8]WC!#REF!</definedName>
    <definedName name="d" localSheetId="0">[8]WC!#REF!</definedName>
    <definedName name="d" localSheetId="5">[8]WC!#REF!</definedName>
    <definedName name="d" localSheetId="13">[8]WC!#REF!</definedName>
    <definedName name="d" localSheetId="11">[8]WC!#REF!</definedName>
    <definedName name="d" localSheetId="19">[8]WC!#REF!</definedName>
    <definedName name="d" localSheetId="3">[8]WC!#REF!</definedName>
    <definedName name="d">[8]WC!#REF!</definedName>
    <definedName name="d262\">#N/A</definedName>
    <definedName name="da">#N/A</definedName>
    <definedName name="dat1_22">#N/A</definedName>
    <definedName name="DAT10_22">#N/A</definedName>
    <definedName name="DAT11_22">#N/A</definedName>
    <definedName name="DAT12_22">#N/A</definedName>
    <definedName name="DAT13_22">#N/A</definedName>
    <definedName name="DAT14_22">#N/A</definedName>
    <definedName name="DAT17_22">#N/A</definedName>
    <definedName name="DAT18_22">#N/A</definedName>
    <definedName name="DAT19_22">#N/A</definedName>
    <definedName name="DAT1A">#N/A</definedName>
    <definedName name="dat2_22">#N/A</definedName>
    <definedName name="DAT20_22">#N/A</definedName>
    <definedName name="DAT3_22">#N/A</definedName>
    <definedName name="DAT4_22">#N/A</definedName>
    <definedName name="DAT5_22">#N/A</definedName>
    <definedName name="DAT6_1">#N/A</definedName>
    <definedName name="DAT6_22">#N/A</definedName>
    <definedName name="DAT6_5">#N/A</definedName>
    <definedName name="DAT7_1">#N/A</definedName>
    <definedName name="DAT7_22">#N/A</definedName>
    <definedName name="DAT7_5">#N/A</definedName>
    <definedName name="DAT8_1">#N/A</definedName>
    <definedName name="DAT8_22">#N/A</definedName>
    <definedName name="DAT8_5">#N/A</definedName>
    <definedName name="DAT9_22">#N/A</definedName>
    <definedName name="DATA1">#N/A</definedName>
    <definedName name="DATA1_22">#N/A</definedName>
    <definedName name="data2">#N/A</definedName>
    <definedName name="data2_22">#N/A</definedName>
    <definedName name="_xlnm.Database" localSheetId="2">#REF!</definedName>
    <definedName name="_xlnm.Database" localSheetId="7">#REF!</definedName>
    <definedName name="_xlnm.Database" localSheetId="15">#REF!</definedName>
    <definedName name="_xlnm.Database" localSheetId="0">#REF!</definedName>
    <definedName name="_xlnm.Database" localSheetId="5">#REF!</definedName>
    <definedName name="_xlnm.Database" localSheetId="13">#REF!</definedName>
    <definedName name="_xlnm.Database" localSheetId="11">#REF!</definedName>
    <definedName name="_xlnm.Database" localSheetId="19">#REF!</definedName>
    <definedName name="_xlnm.Database" localSheetId="3">#REF!</definedName>
    <definedName name="_xlnm.Database">#REF!</definedName>
    <definedName name="Database_MI">#N/A</definedName>
    <definedName name="Database_MI_22">#N/A</definedName>
    <definedName name="datacover1_22">#N/A</definedName>
    <definedName name="date">#N/A</definedName>
    <definedName name="date_10">#N/A</definedName>
    <definedName name="date_22">#N/A</definedName>
    <definedName name="DATEBOX">#N/A</definedName>
    <definedName name="DATER">#N/A</definedName>
    <definedName name="db">#N/A</definedName>
    <definedName name="dc1.">#N/A</definedName>
    <definedName name="dc1._1">#N/A</definedName>
    <definedName name="dc1._5">#N/A</definedName>
    <definedName name="ddddddddddddd" hidden="1">#N/A</definedName>
    <definedName name="dddddddddddddd" hidden="1">#N/A</definedName>
    <definedName name="Debit" localSheetId="2">#REF!</definedName>
    <definedName name="Debit" localSheetId="22">#REF!</definedName>
    <definedName name="Debit">#REF!</definedName>
    <definedName name="debtors_22">#N/A</definedName>
    <definedName name="Dec_05">#N/A</definedName>
    <definedName name="delaneyrae">#N/A</definedName>
    <definedName name="DELOC">#N/A</definedName>
    <definedName name="DELOC_22">#N/A</definedName>
    <definedName name="DELOD">#N/A</definedName>
    <definedName name="DELOD_22">#N/A</definedName>
    <definedName name="DELTB">#N/A</definedName>
    <definedName name="DELTB_22">#N/A</definedName>
    <definedName name="DEP" localSheetId="2">[8]CMA!#REF!</definedName>
    <definedName name="DEP" localSheetId="7">[8]CMA!#REF!</definedName>
    <definedName name="DEP" localSheetId="15">[8]CMA!#REF!</definedName>
    <definedName name="DEP" localSheetId="0">[8]CMA!#REF!</definedName>
    <definedName name="DEP" localSheetId="5">[8]CMA!#REF!</definedName>
    <definedName name="DEP" localSheetId="13">[8]CMA!#REF!</definedName>
    <definedName name="DEP" localSheetId="11">[8]CMA!#REF!</definedName>
    <definedName name="DEP" localSheetId="19">[8]CMA!#REF!</definedName>
    <definedName name="DEP" localSheetId="3">[8]CMA!#REF!</definedName>
    <definedName name="DEP">[8]CMA!#REF!</definedName>
    <definedName name="depcom_pa">#N/A</definedName>
    <definedName name="DepnITax">#N/A</definedName>
    <definedName name="deprentry">#N/A</definedName>
    <definedName name="deprentry_22">#N/A</definedName>
    <definedName name="details_22">#N/A</definedName>
    <definedName name="df" hidden="1">#N/A</definedName>
    <definedName name="dfdsffgfg4">#N/A</definedName>
    <definedName name="dfg">#N/A</definedName>
    <definedName name="dfggggg54" hidden="1">#N/A</definedName>
    <definedName name="dfsdfe" hidden="1">#N/A</definedName>
    <definedName name="dfsdfsdf" hidden="1">#N/A</definedName>
    <definedName name="dfserfgt4" hidden="1">#N/A</definedName>
    <definedName name="dfsfdgsgf4" hidden="1">#N/A</definedName>
    <definedName name="dgdsfge5" hidden="1">#N/A</definedName>
    <definedName name="dgfgdfhg5" hidden="1">#N/A</definedName>
    <definedName name="dhngntt" hidden="1">#N/A</definedName>
    <definedName name="DIALOGUE">#N/A</definedName>
    <definedName name="Differenz_zu_Lieferantenumsatz">#N/A</definedName>
    <definedName name="division_22">#N/A</definedName>
    <definedName name="DLY">#N/A</definedName>
    <definedName name="dn">#N/A</definedName>
    <definedName name="dn_1">#N/A</definedName>
    <definedName name="dn_5">#N/A</definedName>
    <definedName name="Documents_array" localSheetId="2">#REF!</definedName>
    <definedName name="Documents_array" localSheetId="22">#REF!</definedName>
    <definedName name="Documents_array">#REF!</definedName>
    <definedName name="DOLLAR">#N/A</definedName>
    <definedName name="dsfgdfhgter43" hidden="1">#N/A</definedName>
    <definedName name="dsfsf4w" hidden="1">#N/A</definedName>
    <definedName name="dsfsgfdg54" hidden="1">#N/A</definedName>
    <definedName name="dsfsrga54" hidden="1">#N/A</definedName>
    <definedName name="dsra4wrt4" hidden="1">#N/A</definedName>
    <definedName name="dta">[11]wwww!$E$64</definedName>
    <definedName name="dtacurrentyear">#N/A</definedName>
    <definedName name="dtl">[11]wwww!$F$64</definedName>
    <definedName name="E" localSheetId="2">#REF!</definedName>
    <definedName name="E" localSheetId="7">#REF!</definedName>
    <definedName name="E" localSheetId="15">#REF!</definedName>
    <definedName name="E" localSheetId="0">#REF!</definedName>
    <definedName name="E" localSheetId="5">#REF!</definedName>
    <definedName name="E" localSheetId="13">#REF!</definedName>
    <definedName name="E" localSheetId="11">#REF!</definedName>
    <definedName name="E" localSheetId="19">#REF!</definedName>
    <definedName name="E" localSheetId="3">#REF!</definedName>
    <definedName name="E">#REF!</definedName>
    <definedName name="E_14">#N/A</definedName>
    <definedName name="E_15">#N/A</definedName>
    <definedName name="E_19">#N/A</definedName>
    <definedName name="E_2">#N/A</definedName>
    <definedName name="E_22">#N/A</definedName>
    <definedName name="E_3">#N/A</definedName>
    <definedName name="EE_1">#N/A</definedName>
    <definedName name="EE_5">#N/A</definedName>
    <definedName name="eee">#N/A</definedName>
    <definedName name="eeee">#N/A</definedName>
    <definedName name="eeeeeee" hidden="1">#N/A</definedName>
    <definedName name="eeeeeeeee" hidden="1">#N/A</definedName>
    <definedName name="eeeeeeeeeeeee">#N/A</definedName>
    <definedName name="eeeeeeeeeeeeee">#N/A</definedName>
    <definedName name="Egg_Bowler" hidden="1">#N/A</definedName>
    <definedName name="Electrical">#N/A</definedName>
    <definedName name="Electricity">#N/A</definedName>
    <definedName name="ENTERPRISE_SALES">#N/A</definedName>
    <definedName name="ENTERPRISE_SALES_000_s_DISTR">#N/A</definedName>
    <definedName name="ENTERPRISE_SALES_000_s_I_G">#N/A</definedName>
    <definedName name="ENTERPRISE_SALES_000_s_THDP">#N/A</definedName>
    <definedName name="EQUIP_G1">#N/A</definedName>
    <definedName name="EQUIP_G2">#N/A</definedName>
    <definedName name="EQUIP_G3">#N/A</definedName>
    <definedName name="EQUIP_G4">#N/A</definedName>
    <definedName name="EQUIP_I1">#N/A</definedName>
    <definedName name="EQUIP_I2">#N/A</definedName>
    <definedName name="EQUIP_I3">#N/A</definedName>
    <definedName name="EQUIP_I4">#N/A</definedName>
    <definedName name="EQUIP_T1">#N/A</definedName>
    <definedName name="EQUIP_T2">#N/A</definedName>
    <definedName name="EQUIP_T3">#N/A</definedName>
    <definedName name="EQUIP_T4">#N/A</definedName>
    <definedName name="EQUIPMENT_SALES_000_s_DISTRIB">#N/A</definedName>
    <definedName name="EQUIPMENT_SALES_000_s_I_G">#N/A</definedName>
    <definedName name="EQUIPMENT_SALES_000_s_THDP">#N/A</definedName>
    <definedName name="ESICPF">#N/A</definedName>
    <definedName name="ETP">#N/A</definedName>
    <definedName name="Euor">#N/A</definedName>
    <definedName name="Euor_22">#N/A</definedName>
    <definedName name="Excel_BuiltIn_Print_Area_5">#N/A</definedName>
    <definedName name="Excel_BuiltIn_Print_Area_6">#N/A</definedName>
    <definedName name="exhibit1">#N/A</definedName>
    <definedName name="EXPENSES">#N/A</definedName>
    <definedName name="EXPRNG">#N/A</definedName>
    <definedName name="EXPRNG_22">#N/A</definedName>
    <definedName name="F" localSheetId="2">#REF!</definedName>
    <definedName name="F" localSheetId="7">#REF!</definedName>
    <definedName name="F" localSheetId="15">#REF!</definedName>
    <definedName name="F" localSheetId="0">#REF!</definedName>
    <definedName name="F" localSheetId="5">#REF!</definedName>
    <definedName name="F" localSheetId="13">#REF!</definedName>
    <definedName name="F" localSheetId="11">#REF!</definedName>
    <definedName name="F" localSheetId="19">#REF!</definedName>
    <definedName name="F" localSheetId="3">#REF!</definedName>
    <definedName name="F">#REF!</definedName>
    <definedName name="FABSSI">#N/A</definedName>
    <definedName name="factory">#N/A</definedName>
    <definedName name="farng">#N/A</definedName>
    <definedName name="fbgbbbb4" hidden="1">#N/A</definedName>
    <definedName name="fbgjkkk" hidden="1">#N/A</definedName>
    <definedName name="fc.." localSheetId="2">[22]cop!#REF!</definedName>
    <definedName name="fc.." localSheetId="7">[22]cop!#REF!</definedName>
    <definedName name="fc.." localSheetId="15">[22]cop!#REF!</definedName>
    <definedName name="fc.." localSheetId="0">[22]cop!#REF!</definedName>
    <definedName name="fc.." localSheetId="5">[22]cop!#REF!</definedName>
    <definedName name="fc.." localSheetId="13">[22]cop!#REF!</definedName>
    <definedName name="fc.." localSheetId="11">[22]cop!#REF!</definedName>
    <definedName name="fc.." localSheetId="19">[22]cop!#REF!</definedName>
    <definedName name="fc.." localSheetId="3">[22]cop!#REF!</definedName>
    <definedName name="fc..">[22]cop!#REF!</definedName>
    <definedName name="fdfd" hidden="1">#N/A</definedName>
    <definedName name="fdsfgfhgdht" hidden="1">#N/A</definedName>
    <definedName name="feffdfbgbd" hidden="1">#N/A</definedName>
    <definedName name="FF_967">#N/A</definedName>
    <definedName name="fff">#N/A</definedName>
    <definedName name="ffff">#N/A</definedName>
    <definedName name="ffffff">#N/A</definedName>
    <definedName name="ffffffffffffff">#N/A</definedName>
    <definedName name="ffghnbbb5" hidden="1">#N/A</definedName>
    <definedName name="FG">#N/A</definedName>
    <definedName name="fgbtrt5" hidden="1">#N/A</definedName>
    <definedName name="fgbvbgfs4" hidden="1">#N/A</definedName>
    <definedName name="fgdfg5" hidden="1">#N/A</definedName>
    <definedName name="fgdfghtrh5" hidden="1">#N/A</definedName>
    <definedName name="fgdfgrdfg45" hidden="1">#N/A</definedName>
    <definedName name="fgdhgt5e">#N/A</definedName>
    <definedName name="fgdhnnbb5" hidden="1">#N/A</definedName>
    <definedName name="fgfagdfg54" hidden="1">#N/A</definedName>
    <definedName name="fgfdgdfh54" hidden="1">#N/A</definedName>
    <definedName name="fgfdggghhhh" hidden="1">#N/A</definedName>
    <definedName name="fgfdgtg4" hidden="1">#N/A</definedName>
    <definedName name="fgfgfg4" hidden="1">#N/A</definedName>
    <definedName name="fgfgrg554" hidden="1">#N/A</definedName>
    <definedName name="fgfhgfjhj7" hidden="1">#N/A</definedName>
    <definedName name="fggggggggggggg">#N/A</definedName>
    <definedName name="fghggger" hidden="1">#N/A</definedName>
    <definedName name="fghgh6" hidden="1">#N/A</definedName>
    <definedName name="fgrdtgdt" hidden="1">#N/A</definedName>
    <definedName name="fgrertet" hidden="1">#N/A</definedName>
    <definedName name="fgsrete4" hidden="1">#N/A</definedName>
    <definedName name="FINAL">#N/A</definedName>
    <definedName name="FINAL_22">#N/A</definedName>
    <definedName name="Findrng">#N/A</definedName>
    <definedName name="fintb">#N/A</definedName>
    <definedName name="FIRE">#N/A</definedName>
    <definedName name="FirstRow1">#N/A</definedName>
    <definedName name="FirstRow2">#N/A</definedName>
    <definedName name="FirstRow3">#N/A</definedName>
    <definedName name="FirstRow4">#N/A</definedName>
    <definedName name="FIXED_ASSETS">#N/A</definedName>
    <definedName name="FIXED_ASSETS_1">#N/A</definedName>
    <definedName name="FIXED_ASSETS_22">#N/A</definedName>
    <definedName name="FIXED_ASSETS_5">#N/A</definedName>
    <definedName name="fkjkfg" hidden="1">#N/A</definedName>
    <definedName name="FLINE">#N/A</definedName>
    <definedName name="fllll" localSheetId="2" hidden="1">#REF!</definedName>
    <definedName name="fllll" localSheetId="7" hidden="1">#REF!</definedName>
    <definedName name="fllll" localSheetId="15" hidden="1">#REF!</definedName>
    <definedName name="fllll" localSheetId="0" hidden="1">#REF!</definedName>
    <definedName name="fllll" localSheetId="5" hidden="1">#REF!</definedName>
    <definedName name="fllll" localSheetId="13" hidden="1">#REF!</definedName>
    <definedName name="fllll" localSheetId="11" hidden="1">#REF!</definedName>
    <definedName name="fllll" localSheetId="19" hidden="1">#REF!</definedName>
    <definedName name="fllll" localSheetId="3" hidden="1">#REF!</definedName>
    <definedName name="fllll" hidden="1">#REF!</definedName>
    <definedName name="fog">#N/A</definedName>
    <definedName name="foggybottom">#N/A</definedName>
    <definedName name="foggymountain">#N/A</definedName>
    <definedName name="Forex">#N/A</definedName>
    <definedName name="FORM">#N/A</definedName>
    <definedName name="FORM1" localSheetId="2">[8]CMA!#REF!</definedName>
    <definedName name="FORM1" localSheetId="7">[8]CMA!#REF!</definedName>
    <definedName name="FORM1" localSheetId="15">[8]CMA!#REF!</definedName>
    <definedName name="FORM1" localSheetId="0">[8]CMA!#REF!</definedName>
    <definedName name="FORM1" localSheetId="5">[8]CMA!#REF!</definedName>
    <definedName name="FORM1" localSheetId="13">[8]CMA!#REF!</definedName>
    <definedName name="FORM1" localSheetId="11">[8]CMA!#REF!</definedName>
    <definedName name="FORM1" localSheetId="19">[8]CMA!#REF!</definedName>
    <definedName name="FORM1" localSheetId="3">[8]CMA!#REF!</definedName>
    <definedName name="FORM1">[8]CMA!#REF!</definedName>
    <definedName name="Format_22">#N/A</definedName>
    <definedName name="FormatStringTable">[16]ReportsParameters!$A$50:$E$55</definedName>
    <definedName name="FORRAJ90">#N/A</definedName>
    <definedName name="FORRAJ90_10">#N/A</definedName>
    <definedName name="FORRAJERAS">#N/A</definedName>
    <definedName name="FORRAJERAS_10">#N/A</definedName>
    <definedName name="fortcollins">#N/A</definedName>
    <definedName name="frdf" hidden="1">#N/A</definedName>
    <definedName name="fre">#N/A</definedName>
    <definedName name="fre_10">#N/A</definedName>
    <definedName name="fre_22">#N/A</definedName>
    <definedName name="fre2_22">#N/A</definedName>
    <definedName name="fsvfsvree4" hidden="1">#N/A</definedName>
    <definedName name="fur">#N/A</definedName>
    <definedName name="Furniture">#N/A</definedName>
    <definedName name="FYMonths">[16]ReportsParameters!$B$42</definedName>
    <definedName name="G" localSheetId="2">#REF!</definedName>
    <definedName name="G" localSheetId="7">#REF!</definedName>
    <definedName name="G" localSheetId="15">#REF!</definedName>
    <definedName name="G" localSheetId="0">#REF!</definedName>
    <definedName name="G" localSheetId="5">#REF!</definedName>
    <definedName name="G" localSheetId="13">#REF!</definedName>
    <definedName name="G" localSheetId="11">#REF!</definedName>
    <definedName name="G" localSheetId="19">#REF!</definedName>
    <definedName name="G" localSheetId="3">#REF!</definedName>
    <definedName name="G">#REF!</definedName>
    <definedName name="G_2">#N/A</definedName>
    <definedName name="ga">#N/A</definedName>
    <definedName name="GBPLookup">#N/A</definedName>
    <definedName name="gc" localSheetId="2">#REF!</definedName>
    <definedName name="gc" localSheetId="22">#REF!</definedName>
    <definedName name="gc">#REF!</definedName>
    <definedName name="gDataRange">#N/A</definedName>
    <definedName name="gdfg" hidden="1">#N/A</definedName>
    <definedName name="gdfg5e4" hidden="1">#N/A</definedName>
    <definedName name="gdfgdfg4" hidden="1">#N/A</definedName>
    <definedName name="General">#N/A</definedName>
    <definedName name="ger">#N/A</definedName>
    <definedName name="gethjkkii" hidden="1">#N/A</definedName>
    <definedName name="gfdbbbbb54" hidden="1">#N/A</definedName>
    <definedName name="gffghht5" hidden="1">#N/A</definedName>
    <definedName name="gfgdfgklo9" hidden="1">#N/A</definedName>
    <definedName name="gfgdh5" hidden="1">#N/A</definedName>
    <definedName name="gfgdhgh5" hidden="1">#N/A</definedName>
    <definedName name="gfgdrgre45" hidden="1">#N/A</definedName>
    <definedName name="gfgfgtgh5" hidden="1">#N/A</definedName>
    <definedName name="gfsdfgsfgdfg4" hidden="1">#N/A</definedName>
    <definedName name="gfsf4t43trtn" hidden="1">#N/A</definedName>
    <definedName name="gggggggg" hidden="1">#N/A</definedName>
    <definedName name="ggggggggg">#N/A</definedName>
    <definedName name="ggggggggggg">#N/A</definedName>
    <definedName name="gggggggggggggg" hidden="1">#N/A</definedName>
    <definedName name="ggggggggggggggg" hidden="1">#N/A</definedName>
    <definedName name="ggh">#N/A</definedName>
    <definedName name="ggh_1">#N/A</definedName>
    <definedName name="gghhjy56" hidden="1">#N/A</definedName>
    <definedName name="ghfghtr" hidden="1">#N/A</definedName>
    <definedName name="ghg" hidden="1">#N/A</definedName>
    <definedName name="gift">#N/A</definedName>
    <definedName name="gilad">#N/A</definedName>
    <definedName name="GIRATAR">#N/A</definedName>
    <definedName name="GIRATAR_10">#N/A</definedName>
    <definedName name="gjjj656" hidden="1">#N/A</definedName>
    <definedName name="GOA_22">#N/A</definedName>
    <definedName name="GRAPH">"Chart 2"</definedName>
    <definedName name="graph2" hidden="1">#N/A</definedName>
    <definedName name="greerererer">#N/A</definedName>
    <definedName name="GRMASTER">#N/A</definedName>
    <definedName name="GRMASTER_22">#N/A</definedName>
    <definedName name="groupone">#N/A</definedName>
    <definedName name="ha">#N/A</definedName>
    <definedName name="hachhach">#N/A</definedName>
    <definedName name="hb">#N/A</definedName>
    <definedName name="hd">#N/A</definedName>
    <definedName name="hd_22">#N/A</definedName>
    <definedName name="HEADCOUNT1">#N/A</definedName>
    <definedName name="HEADCOUNT2">#N/A</definedName>
    <definedName name="HEADCOUNT3">#N/A</definedName>
    <definedName name="Header">#N/A</definedName>
    <definedName name="Header_1">#N/A</definedName>
    <definedName name="Header_10">#N/A</definedName>
    <definedName name="Header_22">#N/A</definedName>
    <definedName name="Header_5">#N/A</definedName>
    <definedName name="header1">#N/A</definedName>
    <definedName name="HEADING">#N/A</definedName>
    <definedName name="Height">7</definedName>
    <definedName name="Hello" localSheetId="2">#REF!</definedName>
    <definedName name="Hello" localSheetId="22">#REF!</definedName>
    <definedName name="Hello">#REF!</definedName>
    <definedName name="hfgjfhutu" hidden="1">#N/A</definedName>
    <definedName name="hgfhhjukyljk7" hidden="1">#N/A</definedName>
    <definedName name="hghffhftdh2" hidden="1">#N/A</definedName>
    <definedName name="hhhhh6" hidden="1">#N/A</definedName>
    <definedName name="hhhhhhh">#N/A</definedName>
    <definedName name="hhhhhhhhh" hidden="1">#N/A</definedName>
    <definedName name="hhhhhhhhhhhhhhhhhh">#N/A</definedName>
    <definedName name="HistForc" localSheetId="2">#REF!</definedName>
    <definedName name="HistForc" localSheetId="7">#REF!</definedName>
    <definedName name="HistForc" localSheetId="15">#REF!</definedName>
    <definedName name="HistForc" localSheetId="0">#REF!</definedName>
    <definedName name="HistForc" localSheetId="5">#REF!</definedName>
    <definedName name="HistForc" localSheetId="13">#REF!</definedName>
    <definedName name="HistForc" localSheetId="11">#REF!</definedName>
    <definedName name="HistForc" localSheetId="19">#REF!</definedName>
    <definedName name="HistForc" localSheetId="3">#REF!</definedName>
    <definedName name="HistForc">#REF!</definedName>
    <definedName name="HistForc_48" localSheetId="2">#REF!</definedName>
    <definedName name="HistForc_48" localSheetId="7">#REF!</definedName>
    <definedName name="HistForc_48" localSheetId="15">#REF!</definedName>
    <definedName name="HistForc_48" localSheetId="5">#REF!</definedName>
    <definedName name="HistForc_48" localSheetId="13">#REF!</definedName>
    <definedName name="HistForc_48" localSheetId="11">#REF!</definedName>
    <definedName name="HistForc_48" localSheetId="19">#REF!</definedName>
    <definedName name="HistForc_48" localSheetId="3">#REF!</definedName>
    <definedName name="HistForc_48">#REF!</definedName>
    <definedName name="HistForc_49" localSheetId="2">#REF!</definedName>
    <definedName name="HistForc_49" localSheetId="7">#REF!</definedName>
    <definedName name="HistForc_49" localSheetId="15">#REF!</definedName>
    <definedName name="HistForc_49" localSheetId="11">#REF!</definedName>
    <definedName name="HistForc_49" localSheetId="19">#REF!</definedName>
    <definedName name="HistForc_49" localSheetId="3">#REF!</definedName>
    <definedName name="HistForc_49">#REF!</definedName>
    <definedName name="hsrtggaxgdaf" hidden="1">#N/A</definedName>
    <definedName name="hthjhjhf" hidden="1">#N/A</definedName>
    <definedName name="HTML_Header" hidden="1">"Sheet1"</definedName>
    <definedName name="HTML_LastUpdate" hidden="1">"03/07/00"</definedName>
    <definedName name="HTML_LineAfter" hidden="1">FALSE</definedName>
    <definedName name="HTML_LineBefore" hidden="1">FALSE</definedName>
    <definedName name="HTML_Name" hidden="1">"Grant Boultwood"</definedName>
    <definedName name="HTML_OBDlg2" hidden="1">TRUE</definedName>
    <definedName name="HTML_OBDlg4" hidden="1">TRUE</definedName>
    <definedName name="HTML_OS" hidden="1">0</definedName>
    <definedName name="HTML_PathFile" hidden="1">"H:\CCUKSALESSNAP.htm"</definedName>
    <definedName name="HTML_Title" hidden="1">"JUNE FINAL 2000"</definedName>
    <definedName name="iarea2">[23]Input!$B$159:$D$159,[23]Input!$B$162:$D$162,[23]Input!$E$159:$K$159,[23]Input!$E$162:$K$162</definedName>
    <definedName name="iarea3">[23]Input!$C$96:$V$98,[23]Input!$B$102:$B$103,[23]Input!$C$102:$V$102,[23]Input!$C$105:$V$107,[23]Input!$B$123:$B$124,[23]Input!$C$123:$V$123,[23]Input!$B$132:$V$135,[23]Input!$B$139:$V$142</definedName>
    <definedName name="IDCCM" hidden="1">#N/A</definedName>
    <definedName name="iiiiiiiiiiii" hidden="1">#N/A</definedName>
    <definedName name="iiiiiiiiiiiiii">#N/A</definedName>
    <definedName name="iiiiiiiiiiiiiiiiiiiiii">#N/A</definedName>
    <definedName name="inc.dec_FG">#N/A</definedName>
    <definedName name="inc.dec_FG_22">#N/A</definedName>
    <definedName name="INDEX">#N/A</definedName>
    <definedName name="INPUT_PL_DISTRIBUTOR">#N/A</definedName>
    <definedName name="INPUT_PL_INTERGROUP">#N/A</definedName>
    <definedName name="INPUT_PL_THIRD_PARTY">#N/A</definedName>
    <definedName name="INPUT_STAFF_NUMBERS">#N/A</definedName>
    <definedName name="interest_22">#N/A</definedName>
    <definedName name="inventories_22">#N/A</definedName>
    <definedName name="IP">#N/A</definedName>
    <definedName name="ipex">#N/A</definedName>
    <definedName name="IS_COST">#N/A</definedName>
    <definedName name="IS_COST_22">#N/A</definedName>
    <definedName name="ISHistForc" localSheetId="2">#REF!</definedName>
    <definedName name="ISHistForc" localSheetId="7">#REF!</definedName>
    <definedName name="ISHistForc" localSheetId="15">#REF!</definedName>
    <definedName name="ISHistForc" localSheetId="0">#REF!</definedName>
    <definedName name="ISHistForc" localSheetId="5">#REF!</definedName>
    <definedName name="ISHistForc" localSheetId="13">#REF!</definedName>
    <definedName name="ISHistForc" localSheetId="11">#REF!</definedName>
    <definedName name="ISHistForc" localSheetId="19">#REF!</definedName>
    <definedName name="ISHistForc" localSheetId="3">#REF!</definedName>
    <definedName name="ISHistForc">#REF!</definedName>
    <definedName name="J">#N/A</definedName>
    <definedName name="Jan_04">#N/A</definedName>
    <definedName name="jennifer">#N/A</definedName>
    <definedName name="jhjuiufgd" hidden="1">#N/A</definedName>
    <definedName name="jj" localSheetId="2">#REF!</definedName>
    <definedName name="jj" localSheetId="22">#REF!</definedName>
    <definedName name="jj">#REF!</definedName>
    <definedName name="jjjjjjj7" hidden="1">#N/A</definedName>
    <definedName name="jjjjjjjjj">#N/A</definedName>
    <definedName name="jjjjjjjjjjjjjjjjj">#N/A</definedName>
    <definedName name="jjjjjjjjjjjjjjjjjjj">#N/A</definedName>
    <definedName name="jjklkjgkfgj87" hidden="1">#N/A</definedName>
    <definedName name="jul">#N/A</definedName>
    <definedName name="jun">#N/A</definedName>
    <definedName name="JUNE2000">#N/A</definedName>
    <definedName name="K">#N/A</definedName>
    <definedName name="ka">#N/A</definedName>
    <definedName name="kb">#N/A</definedName>
    <definedName name="keeeegan">#N/A</definedName>
    <definedName name="kekse">#N/A</definedName>
    <definedName name="kkkkkkkkkkkkkkk">#N/A</definedName>
    <definedName name="L_14">#N/A</definedName>
    <definedName name="L_15">#N/A</definedName>
    <definedName name="L_19">#N/A</definedName>
    <definedName name="L_2">#N/A</definedName>
    <definedName name="L_22">#N/A</definedName>
    <definedName name="L_3">#N/A</definedName>
    <definedName name="leave">#N/A</definedName>
    <definedName name="Level1.xls">#N/A</definedName>
    <definedName name="liabilities_22">#N/A</definedName>
    <definedName name="LINE_49">#N/A</definedName>
    <definedName name="loanandadvances_22">#N/A</definedName>
    <definedName name="loveland">#N/A</definedName>
    <definedName name="lovelandloveland">#N/A</definedName>
    <definedName name="M">#N/A</definedName>
    <definedName name="M_CapitalAvg">[16]ReportsParameters!$B$32</definedName>
    <definedName name="M_CoName">[16]ReportsParameters!$B$29</definedName>
    <definedName name="M_Denomination">[16]ReportsParameters!$B$38</definedName>
    <definedName name="M_FinanseerTitle">[16]ReportsParameters!$B$33</definedName>
    <definedName name="M_Lf">[16]ReportsParameters!$C$19</definedName>
    <definedName name="M_Pf">[16]ReportsParameters!$C$20</definedName>
    <definedName name="M_PrintFrom">[16]ReportsParameters!$B$11</definedName>
    <definedName name="M_PrintTo">[16]ReportsParameters!$B$12</definedName>
    <definedName name="M_Pt">[16]ReportsParameters!$C$21</definedName>
    <definedName name="M_SSAdjustments">[16]ReportsParameters!$B$26</definedName>
    <definedName name="MAACRS">#N/A</definedName>
    <definedName name="MAACRS_22">#N/A</definedName>
    <definedName name="MAADRS">#N/A</definedName>
    <definedName name="MAADRS_22">#N/A</definedName>
    <definedName name="MAAOC">#N/A</definedName>
    <definedName name="MAAOC_1">#N/A</definedName>
    <definedName name="MAAOC_22">#N/A</definedName>
    <definedName name="MAAOC_5">#N/A</definedName>
    <definedName name="MAAOD">#N/A</definedName>
    <definedName name="MAAOD_1">#N/A</definedName>
    <definedName name="MAAOD_22">#N/A</definedName>
    <definedName name="MAAOD_5">#N/A</definedName>
    <definedName name="MAATB">#N/A</definedName>
    <definedName name="MAATB_22">#N/A</definedName>
    <definedName name="MACRO_PRINT">#N/A</definedName>
    <definedName name="MACROBOX">#N/A</definedName>
    <definedName name="MADAD">#N/A</definedName>
    <definedName name="mahape">#N/A</definedName>
    <definedName name="MAIZ89">#N/A</definedName>
    <definedName name="MAIZ89_10">#N/A</definedName>
    <definedName name="MAIZ90">#N/A</definedName>
    <definedName name="MAIZ90_10">#N/A</definedName>
    <definedName name="Makro1">#N/A</definedName>
    <definedName name="Makro4">#N/A</definedName>
    <definedName name="MARINE">#N/A</definedName>
    <definedName name="may">#N/A</definedName>
    <definedName name="Mayank" localSheetId="2">[8]CMA!#REF!</definedName>
    <definedName name="Mayank" localSheetId="7">[8]CMA!#REF!</definedName>
    <definedName name="Mayank" localSheetId="15">[8]CMA!#REF!</definedName>
    <definedName name="Mayank" localSheetId="0">[8]CMA!#REF!</definedName>
    <definedName name="Mayank" localSheetId="5">[8]CMA!#REF!</definedName>
    <definedName name="Mayank" localSheetId="13">[8]CMA!#REF!</definedName>
    <definedName name="Mayank" localSheetId="11">[8]CMA!#REF!</definedName>
    <definedName name="Mayank" localSheetId="19">[8]CMA!#REF!</definedName>
    <definedName name="Mayank" localSheetId="3">[8]CMA!#REF!</definedName>
    <definedName name="Mayank">[8]CMA!#REF!</definedName>
    <definedName name="medical">#N/A</definedName>
    <definedName name="MENU">#N/A</definedName>
    <definedName name="metal10d">#N/A</definedName>
    <definedName name="metal20d">#N/A</definedName>
    <definedName name="MGRREM_22">#N/A</definedName>
    <definedName name="milk">#N/A</definedName>
    <definedName name="mineraldryereve">#N/A</definedName>
    <definedName name="mmmm" hidden="1">#N/A</definedName>
    <definedName name="mmmmkkl9" hidden="1">#N/A</definedName>
    <definedName name="mmmmmmmmmmmmmm">#N/A</definedName>
    <definedName name="MMMY">#N/A</definedName>
    <definedName name="MMMY_22">#N/A</definedName>
    <definedName name="ModelEnd_Date" localSheetId="22">[24]Assumptions!$D$14</definedName>
    <definedName name="ModelEnd_Date">[24]Assumptions!$D$14</definedName>
    <definedName name="MONTHRANGE">#N/A</definedName>
    <definedName name="MONTHRANGE_22">#N/A</definedName>
    <definedName name="mtd_1">#N/A</definedName>
    <definedName name="mtd_10">#N/A</definedName>
    <definedName name="mtd_22">#N/A</definedName>
    <definedName name="mtd_5">#N/A</definedName>
    <definedName name="MTH">#N/A</definedName>
    <definedName name="N">#N/A</definedName>
    <definedName name="name_1">#N/A</definedName>
    <definedName name="name_10">#N/A</definedName>
    <definedName name="name_14">#N/A</definedName>
    <definedName name="name_15">#N/A</definedName>
    <definedName name="name_2">#N/A</definedName>
    <definedName name="name_22">#N/A</definedName>
    <definedName name="name_3">#N/A</definedName>
    <definedName name="name2">#N/A</definedName>
    <definedName name="name2_1">#N/A</definedName>
    <definedName name="name2_10">#N/A</definedName>
    <definedName name="name2_22">#N/A</definedName>
    <definedName name="name2_5">#N/A</definedName>
    <definedName name="Navision" hidden="1">#N/A</definedName>
    <definedName name="nbcrrr" hidden="1">#N/A</definedName>
    <definedName name="NCrecovery">#N/A</definedName>
    <definedName name="nest">#N/A</definedName>
    <definedName name="new">#N/A</definedName>
    <definedName name="new_22">#N/A</definedName>
    <definedName name="New_Dry_Coatings">#N/A</definedName>
    <definedName name="New_Dry_Coatings_22">#N/A</definedName>
    <definedName name="Next.Up">#N/A</definedName>
    <definedName name="nfhnhj7" hidden="1">#N/A</definedName>
    <definedName name="nhfdh6" hidden="1">#N/A</definedName>
    <definedName name="NLG">#N/A</definedName>
    <definedName name="nn">#N/A</definedName>
    <definedName name="nnn">#N/A</definedName>
    <definedName name="nnnnnn6" hidden="1">#N/A</definedName>
    <definedName name="nnnnnnnnnnnnnnn" hidden="1">#N/A</definedName>
    <definedName name="NO_UPDATE">#N/A</definedName>
    <definedName name="Non">#N/A</definedName>
    <definedName name="nonfact">#N/A</definedName>
    <definedName name="nonop">[11]Capital!$Q$82:$Q$88</definedName>
    <definedName name="NOPAT" localSheetId="2">#REF!</definedName>
    <definedName name="NOPAT" localSheetId="7">#REF!</definedName>
    <definedName name="NOPAT" localSheetId="15">#REF!</definedName>
    <definedName name="NOPAT" localSheetId="0">#REF!</definedName>
    <definedName name="NOPAT" localSheetId="5">#REF!</definedName>
    <definedName name="NOPAT" localSheetId="13">#REF!</definedName>
    <definedName name="NOPAT" localSheetId="11">#REF!</definedName>
    <definedName name="NOPAT" localSheetId="19">#REF!</definedName>
    <definedName name="NOPAT" localSheetId="3">#REF!</definedName>
    <definedName name="NOPAT">#REF!</definedName>
    <definedName name="NOPAT_1" localSheetId="2">#REF!</definedName>
    <definedName name="NOPAT_1" localSheetId="7">#REF!</definedName>
    <definedName name="NOPAT_1" localSheetId="15">#REF!</definedName>
    <definedName name="NOPAT_1" localSheetId="5">#REF!</definedName>
    <definedName name="NOPAT_1" localSheetId="13">#REF!</definedName>
    <definedName name="NOPAT_1" localSheetId="11">#REF!</definedName>
    <definedName name="NOPAT_1" localSheetId="19">#REF!</definedName>
    <definedName name="NOPAT_1" localSheetId="3">#REF!</definedName>
    <definedName name="NOPAT_1">#REF!</definedName>
    <definedName name="NOPAT_25" localSheetId="2">#REF!</definedName>
    <definedName name="NOPAT_25" localSheetId="7">#REF!</definedName>
    <definedName name="NOPAT_25" localSheetId="15">#REF!</definedName>
    <definedName name="NOPAT_25" localSheetId="11">#REF!</definedName>
    <definedName name="NOPAT_25" localSheetId="19">#REF!</definedName>
    <definedName name="NOPAT_25" localSheetId="3">#REF!</definedName>
    <definedName name="NOPAT_25">#REF!</definedName>
    <definedName name="NOPAT_34" localSheetId="2">#REF!</definedName>
    <definedName name="NOPAT_34" localSheetId="7">#REF!</definedName>
    <definedName name="NOPAT_34" localSheetId="15">#REF!</definedName>
    <definedName name="NOPAT_34" localSheetId="11">#REF!</definedName>
    <definedName name="NOPAT_34" localSheetId="19">#REF!</definedName>
    <definedName name="NOPAT_34" localSheetId="3">#REF!</definedName>
    <definedName name="NOPAT_34">#REF!</definedName>
    <definedName name="NOPAT_48" localSheetId="2">#REF!</definedName>
    <definedName name="NOPAT_48" localSheetId="7">#REF!</definedName>
    <definedName name="NOPAT_48" localSheetId="15">#REF!</definedName>
    <definedName name="NOPAT_48" localSheetId="11">#REF!</definedName>
    <definedName name="NOPAT_48" localSheetId="19">#REF!</definedName>
    <definedName name="NOPAT_48" localSheetId="3">#REF!</definedName>
    <definedName name="NOPAT_48">#REF!</definedName>
    <definedName name="NOPAT_49" localSheetId="2">#REF!</definedName>
    <definedName name="NOPAT_49" localSheetId="7">#REF!</definedName>
    <definedName name="NOPAT_49" localSheetId="15">#REF!</definedName>
    <definedName name="NOPAT_49" localSheetId="11">#REF!</definedName>
    <definedName name="NOPAT_49" localSheetId="19">#REF!</definedName>
    <definedName name="NOPAT_49" localSheetId="3">#REF!</definedName>
    <definedName name="NOPAT_49">#REF!</definedName>
    <definedName name="NOPAT_5" localSheetId="2">#REF!</definedName>
    <definedName name="NOPAT_5" localSheetId="7">#REF!</definedName>
    <definedName name="NOPAT_5" localSheetId="15">#REF!</definedName>
    <definedName name="NOPAT_5" localSheetId="11">#REF!</definedName>
    <definedName name="NOPAT_5" localSheetId="19">#REF!</definedName>
    <definedName name="NOPAT_5" localSheetId="3">#REF!</definedName>
    <definedName name="NOPAT_5">#REF!</definedName>
    <definedName name="NOPAT_59" localSheetId="2">#REF!</definedName>
    <definedName name="NOPAT_59" localSheetId="7">#REF!</definedName>
    <definedName name="NOPAT_59" localSheetId="15">#REF!</definedName>
    <definedName name="NOPAT_59" localSheetId="11">#REF!</definedName>
    <definedName name="NOPAT_59" localSheetId="19">#REF!</definedName>
    <definedName name="NOPAT_59" localSheetId="3">#REF!</definedName>
    <definedName name="NOPAT_59">#REF!</definedName>
    <definedName name="nopatadj" localSheetId="2">#REF!</definedName>
    <definedName name="nopatadj" localSheetId="7">#REF!</definedName>
    <definedName name="nopatadj" localSheetId="15">#REF!</definedName>
    <definedName name="nopatadj" localSheetId="11">#REF!</definedName>
    <definedName name="nopatadj" localSheetId="19">#REF!</definedName>
    <definedName name="nopatadj" localSheetId="3">#REF!</definedName>
    <definedName name="nopatadj">#REF!</definedName>
    <definedName name="nopatadj_1" localSheetId="2">#REF!</definedName>
    <definedName name="nopatadj_1" localSheetId="7">#REF!</definedName>
    <definedName name="nopatadj_1" localSheetId="15">#REF!</definedName>
    <definedName name="nopatadj_1" localSheetId="11">#REF!</definedName>
    <definedName name="nopatadj_1" localSheetId="19">#REF!</definedName>
    <definedName name="nopatadj_1" localSheetId="3">#REF!</definedName>
    <definedName name="nopatadj_1">#REF!</definedName>
    <definedName name="nopatadj_25" localSheetId="2">#REF!</definedName>
    <definedName name="nopatadj_25" localSheetId="7">#REF!</definedName>
    <definedName name="nopatadj_25" localSheetId="15">#REF!</definedName>
    <definedName name="nopatadj_25" localSheetId="11">#REF!</definedName>
    <definedName name="nopatadj_25" localSheetId="19">#REF!</definedName>
    <definedName name="nopatadj_25" localSheetId="3">#REF!</definedName>
    <definedName name="nopatadj_25">#REF!</definedName>
    <definedName name="nopatadj_49" localSheetId="2">#REF!</definedName>
    <definedName name="nopatadj_49" localSheetId="7">#REF!</definedName>
    <definedName name="nopatadj_49" localSheetId="15">#REF!</definedName>
    <definedName name="nopatadj_49" localSheetId="11">#REF!</definedName>
    <definedName name="nopatadj_49" localSheetId="19">#REF!</definedName>
    <definedName name="nopatadj_49" localSheetId="3">#REF!</definedName>
    <definedName name="nopatadj_49">#REF!</definedName>
    <definedName name="NOTE11">#N/A</definedName>
    <definedName name="NOTE12">#N/A</definedName>
    <definedName name="NOTE13">#N/A</definedName>
    <definedName name="NOTE14">#N/A</definedName>
    <definedName name="NOTE15">#N/A</definedName>
    <definedName name="NOTE16">#N/A</definedName>
    <definedName name="NOTE17">#N/A</definedName>
    <definedName name="NOTE18">#N/A</definedName>
    <definedName name="NOTE19">#N/A</definedName>
    <definedName name="NOTE2">#N/A</definedName>
    <definedName name="NOTE20">#N/A</definedName>
    <definedName name="NOTE21">#N/A</definedName>
    <definedName name="NOTE3">#N/A</definedName>
    <definedName name="NOTE4">#N/A</definedName>
    <definedName name="NOTE5">#N/A</definedName>
    <definedName name="NOTE6">#N/A</definedName>
    <definedName name="NOTE7">#N/A</definedName>
    <definedName name="NOTE8">#N/A</definedName>
    <definedName name="NOTE9">#N/A</definedName>
    <definedName name="NOTES">#N/A</definedName>
    <definedName name="NTD">#N/A</definedName>
    <definedName name="O">#N/A</definedName>
    <definedName name="OCB">#N/A</definedName>
    <definedName name="oct">#N/A</definedName>
    <definedName name="off">#N/A</definedName>
    <definedName name="office">#N/A</definedName>
    <definedName name="old_serial">#N/A</definedName>
    <definedName name="oo" localSheetId="2">#REF!</definedName>
    <definedName name="oo" localSheetId="22">#REF!</definedName>
    <definedName name="oo">#REF!</definedName>
    <definedName name="opening">#N/A</definedName>
    <definedName name="OPTIONS">#N/A</definedName>
    <definedName name="OTH_COS">#N/A</definedName>
    <definedName name="OTHER_DATA">#N/A</definedName>
    <definedName name="othermfgexps">#N/A</definedName>
    <definedName name="othermfgexps_22">#N/A</definedName>
    <definedName name="OVERHEADS2">#N/A</definedName>
    <definedName name="P">#N/A</definedName>
    <definedName name="p.b">#N/A</definedName>
    <definedName name="P_L2">#N/A</definedName>
    <definedName name="PA_TXd">#N/A</definedName>
    <definedName name="pack">#N/A</definedName>
    <definedName name="packing" localSheetId="2">[10]Exp!#REF!</definedName>
    <definedName name="packing" localSheetId="7">[10]Exp!#REF!</definedName>
    <definedName name="packing" localSheetId="15">[10]Exp!#REF!</definedName>
    <definedName name="packing" localSheetId="0">[10]Exp!#REF!</definedName>
    <definedName name="packing" localSheetId="5">[10]Exp!#REF!</definedName>
    <definedName name="packing" localSheetId="13">[10]Exp!#REF!</definedName>
    <definedName name="packing" localSheetId="11">[10]Exp!#REF!</definedName>
    <definedName name="packing" localSheetId="19">[10]Exp!#REF!</definedName>
    <definedName name="packing" localSheetId="3">[10]Exp!#REF!</definedName>
    <definedName name="packing">[10]Exp!#REF!</definedName>
    <definedName name="Page_5">#N/A</definedName>
    <definedName name="PAGE_NO">#N/A</definedName>
    <definedName name="PAGE11">#N/A</definedName>
    <definedName name="PAGE12">#N/A</definedName>
    <definedName name="PAGE13">#N/A</definedName>
    <definedName name="PAGE14">#N/A</definedName>
    <definedName name="PAGE15">#N/A</definedName>
    <definedName name="PAGE15_1">#N/A</definedName>
    <definedName name="PAGE15_5">#N/A</definedName>
    <definedName name="PAGE16">#N/A</definedName>
    <definedName name="PAGE18">#N/A</definedName>
    <definedName name="PAGE19">#N/A</definedName>
    <definedName name="PAGE22">#N/A</definedName>
    <definedName name="Page3">#N/A</definedName>
    <definedName name="Page3_22">#N/A</definedName>
    <definedName name="Page4">#N/A</definedName>
    <definedName name="Page4_22">#N/A</definedName>
    <definedName name="Page5">#N/A</definedName>
    <definedName name="Page5_22">#N/A</definedName>
    <definedName name="PAGE5A">#N/A</definedName>
    <definedName name="PAGE5B">#N/A</definedName>
    <definedName name="Page6">#N/A</definedName>
    <definedName name="Page6_22">#N/A</definedName>
    <definedName name="Page7">#N/A</definedName>
    <definedName name="Page7_22">#N/A</definedName>
    <definedName name="PAGE8">#N/A</definedName>
    <definedName name="PAGE9">#N/A</definedName>
    <definedName name="PAGEJ">#N/A</definedName>
    <definedName name="Pam" hidden="1">#N/A</definedName>
    <definedName name="PARTIV">#N/A</definedName>
    <definedName name="PARTIV_22">#N/A</definedName>
    <definedName name="PartNo">#N/A</definedName>
    <definedName name="Parts">#N/A</definedName>
    <definedName name="pcbagraph" hidden="1">#N/A</definedName>
    <definedName name="per">#N/A</definedName>
    <definedName name="PERCENT">#N/A</definedName>
    <definedName name="PF">#N/A</definedName>
    <definedName name="PFESIC">#N/A</definedName>
    <definedName name="PJ_RPK">#N/A</definedName>
    <definedName name="pjj_pa">#N/A</definedName>
    <definedName name="PL">#N/A</definedName>
    <definedName name="pl_10">#N/A</definedName>
    <definedName name="PL_DIST">#N/A</definedName>
    <definedName name="PL_INTER">#N/A</definedName>
    <definedName name="PL_THIRD_PARTY">#N/A</definedName>
    <definedName name="plan1">[23]Input!$B$159</definedName>
    <definedName name="plan10">[23]Input!$K$159</definedName>
    <definedName name="plan2">[23]Input!$C$159</definedName>
    <definedName name="plan3">[23]Input!$D$159</definedName>
    <definedName name="plan4">[23]Input!$E$159</definedName>
    <definedName name="plan5">[23]Input!$F$159</definedName>
    <definedName name="plan6">[23]Input!$G$159</definedName>
    <definedName name="plan7">[23]Input!$H$159</definedName>
    <definedName name="plan8">[23]Input!$I$159</definedName>
    <definedName name="plan9">[23]Input!$J$159</definedName>
    <definedName name="plant">#N/A</definedName>
    <definedName name="Plant_Mach">#N/A</definedName>
    <definedName name="plant1">#N/A</definedName>
    <definedName name="pm">#N/A</definedName>
    <definedName name="PN_VT">#N/A</definedName>
    <definedName name="power" localSheetId="2">[10]Exp!#REF!</definedName>
    <definedName name="power" localSheetId="7">[10]Exp!#REF!</definedName>
    <definedName name="power" localSheetId="15">[10]Exp!#REF!</definedName>
    <definedName name="power" localSheetId="0">[10]Exp!#REF!</definedName>
    <definedName name="power" localSheetId="5">[10]Exp!#REF!</definedName>
    <definedName name="power" localSheetId="13">[10]Exp!#REF!</definedName>
    <definedName name="power" localSheetId="11">[10]Exp!#REF!</definedName>
    <definedName name="power" localSheetId="19">[10]Exp!#REF!</definedName>
    <definedName name="power" localSheetId="3">[10]Exp!#REF!</definedName>
    <definedName name="power">[10]Exp!#REF!</definedName>
    <definedName name="pppppppppppppp">#N/A</definedName>
    <definedName name="pptt">[23]b!$C$11</definedName>
    <definedName name="PRATE">#N/A</definedName>
    <definedName name="PREMEXP">#N/A</definedName>
    <definedName name="PREMEXP_22">#N/A</definedName>
    <definedName name="PRINT_ALL">#N/A</definedName>
    <definedName name="_xlnm.Print_Area" localSheetId="2">'Bank Funding Margins'!$A$1:$J$10</definedName>
    <definedName name="_xlnm.Print_Area" localSheetId="22">'CMA Format Combined'!$A$1:$M$346</definedName>
    <definedName name="_xlnm.Print_Area" localSheetId="7">'Depreciation Chart - Eco Gr P2'!$A$1:$J$134</definedName>
    <definedName name="_xlnm.Print_Area" localSheetId="15">'Depreciation Chart - Eco Green'!$A$1:$J$134</definedName>
    <definedName name="_xlnm.Print_Area" localSheetId="0">'Funding Requirement'!$A$1:$F$16</definedName>
    <definedName name="_xlnm.Print_Area" localSheetId="16">'Human Resource'!$B$1:$N$26</definedName>
    <definedName name="_xlnm.Print_Area" localSheetId="8">'Human Resource P2'!$B$1:$N$26</definedName>
    <definedName name="_xlnm.Print_Area" localSheetId="5">'Production, Revenue &amp; Profi P2'!$A$1:$M$248</definedName>
    <definedName name="_xlnm.Print_Area" localSheetId="13">'Production, Revenue &amp; Profit'!$A$1:$M$258</definedName>
    <definedName name="_xlnm.Print_Area" localSheetId="11">'Project BS'!$A$1:$K$38</definedName>
    <definedName name="_xlnm.Print_Area" localSheetId="19">'Project BS Combined'!$A$1:$K$37</definedName>
    <definedName name="_xlnm.Print_Area" localSheetId="3">'Project BS P2 '!$A$1:$K$38</definedName>
    <definedName name="_xlnm.Print_Area" localSheetId="1">'Project Cost &amp; Capital Expendit'!$A$1:$H$83</definedName>
    <definedName name="_xlnm.Print_Area" localSheetId="12">'Project PL '!$A$1:$K$34</definedName>
    <definedName name="_xlnm.Print_Area" localSheetId="20">'Project PL  Combined'!$A$1:$K$34</definedName>
    <definedName name="_xlnm.Print_Area" localSheetId="4">'Project PL  P2'!$A$1:$K$34</definedName>
    <definedName name="_xlnm.Print_Area" localSheetId="18">'Ratio Analysis'!$A$1:$I$26</definedName>
    <definedName name="_xlnm.Print_Area" localSheetId="21">'Ratio Analysis Combined'!$A$1:$I$14</definedName>
    <definedName name="_xlnm.Print_Area" localSheetId="10">'Ratio Analysis P2'!$A$1:$I$26</definedName>
    <definedName name="_xlnm.Print_Area" localSheetId="17">'TL 1 '!$A$1:$H$156</definedName>
    <definedName name="_xlnm.Print_Area" localSheetId="9">'TL 2'!$A$1:$H$171</definedName>
    <definedName name="_xlnm.Print_Area" localSheetId="14">'Utilities-1'!$A$1:$O$20</definedName>
    <definedName name="_xlnm.Print_Area" localSheetId="6">'Utilities-1 P2'!$A$1:$O$19</definedName>
    <definedName name="_xlnm.Print_Area">#REF!</definedName>
    <definedName name="Print_Area_MI" localSheetId="2">#REF!</definedName>
    <definedName name="Print_Area_MI" localSheetId="7">#REF!</definedName>
    <definedName name="Print_Area_MI" localSheetId="15">#REF!</definedName>
    <definedName name="Print_Area_MI" localSheetId="0">#REF!</definedName>
    <definedName name="Print_Area_MI" localSheetId="5">#REF!</definedName>
    <definedName name="Print_Area_MI" localSheetId="13">#REF!</definedName>
    <definedName name="Print_Area_MI" localSheetId="11">#REF!</definedName>
    <definedName name="Print_Area_MI" localSheetId="19">#REF!</definedName>
    <definedName name="Print_Area_MI" localSheetId="3">#REF!</definedName>
    <definedName name="Print_Area_MI">#REF!</definedName>
    <definedName name="PRINT_CASH">#N/A</definedName>
    <definedName name="PRINT_DIS">#N/A</definedName>
    <definedName name="PRINT_DIST_DET">#N/A</definedName>
    <definedName name="PRINT_EQUIP">#N/A</definedName>
    <definedName name="PRINT_EXP">#N/A</definedName>
    <definedName name="PRINT_IG_DET">#N/A</definedName>
    <definedName name="PRINT_PACK">#N/A</definedName>
    <definedName name="PRINT_PAGE_NO">#N/A</definedName>
    <definedName name="PRINT_PLAC">#N/A</definedName>
    <definedName name="PRINT_STAFF">#N/A</definedName>
    <definedName name="_xlnm.Print_Titles" localSheetId="22">#REF!</definedName>
    <definedName name="_xlnm.Print_Titles">#REF!</definedName>
    <definedName name="PRINT_TP_DET">#N/A</definedName>
    <definedName name="PRINT_TRADING">#N/A</definedName>
    <definedName name="PRINTING_AREA_COVER_01_02" localSheetId="2">#REF!</definedName>
    <definedName name="PRINTING_AREA_COVER_01_02" localSheetId="7">#REF!</definedName>
    <definedName name="PRINTING_AREA_COVER_01_02" localSheetId="15">#REF!</definedName>
    <definedName name="PRINTING_AREA_COVER_01_02" localSheetId="0">#REF!</definedName>
    <definedName name="PRINTING_AREA_COVER_01_02" localSheetId="5">#REF!</definedName>
    <definedName name="PRINTING_AREA_COVER_01_02" localSheetId="13">#REF!</definedName>
    <definedName name="PRINTING_AREA_COVER_01_02" localSheetId="11">#REF!</definedName>
    <definedName name="PRINTING_AREA_COVER_01_02" localSheetId="19">#REF!</definedName>
    <definedName name="PRINTING_AREA_COVER_01_02" localSheetId="3">#REF!</definedName>
    <definedName name="PRINTING_AREA_COVER_01_02">#REF!</definedName>
    <definedName name="PROFIT" localSheetId="2">'[1]#exist'!#REF!</definedName>
    <definedName name="PROFIT" localSheetId="7">'[1]#exist'!#REF!</definedName>
    <definedName name="PROFIT" localSheetId="15">'[1]#exist'!#REF!</definedName>
    <definedName name="PROFIT" localSheetId="0">'[1]#exist'!#REF!</definedName>
    <definedName name="PROFIT" localSheetId="5">'[1]#exist'!#REF!</definedName>
    <definedName name="PROFIT" localSheetId="13">'[1]#exist'!#REF!</definedName>
    <definedName name="PROFIT" localSheetId="11">'[1]#exist'!#REF!</definedName>
    <definedName name="PROFIT" localSheetId="19">'[1]#exist'!#REF!</definedName>
    <definedName name="PROFIT" localSheetId="3">'[1]#exist'!#REF!</definedName>
    <definedName name="PROFIT">'[1]#exist'!#REF!</definedName>
    <definedName name="programimpact">#N/A</definedName>
    <definedName name="PROJECT">#N/A</definedName>
    <definedName name="provisions">#N/A</definedName>
    <definedName name="provisions_22">#N/A</definedName>
    <definedName name="py">[21]Parameters!$B$5</definedName>
    <definedName name="pyd">[21]Parameters!$B$5</definedName>
    <definedName name="q" localSheetId="2">[8]CMA!#REF!</definedName>
    <definedName name="q" localSheetId="7">[8]CMA!#REF!</definedName>
    <definedName name="q" localSheetId="15">[8]CMA!#REF!</definedName>
    <definedName name="q" localSheetId="0">[8]CMA!#REF!</definedName>
    <definedName name="q" localSheetId="5">[8]CMA!#REF!</definedName>
    <definedName name="q" localSheetId="13">[8]CMA!#REF!</definedName>
    <definedName name="q" localSheetId="11">[8]CMA!#REF!</definedName>
    <definedName name="q" localSheetId="19">[8]CMA!#REF!</definedName>
    <definedName name="q" localSheetId="3">[8]CMA!#REF!</definedName>
    <definedName name="q">[8]CMA!#REF!</definedName>
    <definedName name="QPG1_1">#N/A</definedName>
    <definedName name="QPG1_14">#N/A</definedName>
    <definedName name="QPG1_15">#N/A</definedName>
    <definedName name="QPG1_19">#N/A</definedName>
    <definedName name="QPG1_2">#N/A</definedName>
    <definedName name="QPG1_22">#N/A</definedName>
    <definedName name="QPG1_3">#N/A</definedName>
    <definedName name="qpg10_1">#N/A</definedName>
    <definedName name="qpg10_14">#N/A</definedName>
    <definedName name="qpg10_15">#N/A</definedName>
    <definedName name="qpg10_19">#N/A</definedName>
    <definedName name="qpg10_2">#N/A</definedName>
    <definedName name="qpg10_22">#N/A</definedName>
    <definedName name="qpg10_3">#N/A</definedName>
    <definedName name="QPG11_1">#N/A</definedName>
    <definedName name="QPG11_14">#N/A</definedName>
    <definedName name="QPG11_15">#N/A</definedName>
    <definedName name="QPG11_19">#N/A</definedName>
    <definedName name="QPG11_2">#N/A</definedName>
    <definedName name="QPG11_22">#N/A</definedName>
    <definedName name="QPG11_3">#N/A</definedName>
    <definedName name="QPG2_1">#N/A</definedName>
    <definedName name="QPG2_14">#N/A</definedName>
    <definedName name="QPG2_15">#N/A</definedName>
    <definedName name="QPG2_19">#N/A</definedName>
    <definedName name="QPG2_2">#N/A</definedName>
    <definedName name="QPG2_22">#N/A</definedName>
    <definedName name="QPG2_3">#N/A</definedName>
    <definedName name="QPG3_1">#N/A</definedName>
    <definedName name="QPG3_14">#N/A</definedName>
    <definedName name="QPG3_15">#N/A</definedName>
    <definedName name="QPG3_19">#N/A</definedName>
    <definedName name="QPG3_2">#N/A</definedName>
    <definedName name="QPG3_22">#N/A</definedName>
    <definedName name="QPG3_3">#N/A</definedName>
    <definedName name="QPG4_1">#N/A</definedName>
    <definedName name="QPG4_14">#N/A</definedName>
    <definedName name="QPG4_15">#N/A</definedName>
    <definedName name="QPG4_19">#N/A</definedName>
    <definedName name="QPG4_2">#N/A</definedName>
    <definedName name="QPG4_22">#N/A</definedName>
    <definedName name="QPG4_3">#N/A</definedName>
    <definedName name="QPG5_1">#N/A</definedName>
    <definedName name="QPG5_14">#N/A</definedName>
    <definedName name="QPG5_15">#N/A</definedName>
    <definedName name="QPG5_19">#N/A</definedName>
    <definedName name="QPG5_2">#N/A</definedName>
    <definedName name="QPG5_22">#N/A</definedName>
    <definedName name="QPG5_3">#N/A</definedName>
    <definedName name="QPG6_1">#N/A</definedName>
    <definedName name="QPG6_14">#N/A</definedName>
    <definedName name="QPG6_15">#N/A</definedName>
    <definedName name="QPG6_19">#N/A</definedName>
    <definedName name="QPG6_2">#N/A</definedName>
    <definedName name="QPG6_22">#N/A</definedName>
    <definedName name="QPG6_3">#N/A</definedName>
    <definedName name="QPG7_1">#N/A</definedName>
    <definedName name="QPG7_14">#N/A</definedName>
    <definedName name="QPG7_15">#N/A</definedName>
    <definedName name="QPG7_19">#N/A</definedName>
    <definedName name="QPG7_2">#N/A</definedName>
    <definedName name="QPG7_22">#N/A</definedName>
    <definedName name="QPG7_3">#N/A</definedName>
    <definedName name="QPG8_1">#N/A</definedName>
    <definedName name="QPG8_14">#N/A</definedName>
    <definedName name="QPG8_15">#N/A</definedName>
    <definedName name="QPG8_19">#N/A</definedName>
    <definedName name="QPG8_2">#N/A</definedName>
    <definedName name="QPG8_22">#N/A</definedName>
    <definedName name="QPG8_3">#N/A</definedName>
    <definedName name="qpg9_1">#N/A</definedName>
    <definedName name="qpg9_14">#N/A</definedName>
    <definedName name="qpg9_15">#N/A</definedName>
    <definedName name="qpg9_19">#N/A</definedName>
    <definedName name="qpg9_2">#N/A</definedName>
    <definedName name="qpg9_22">#N/A</definedName>
    <definedName name="qpg9_3">#N/A</definedName>
    <definedName name="qqq">#N/A</definedName>
    <definedName name="qqqqqq">#N/A</definedName>
    <definedName name="qqqqqqqqqqqqqqqq">#N/A</definedName>
    <definedName name="qqqqqqqqqqqqqqqqqqq">#N/A</definedName>
    <definedName name="qrfwrw443" hidden="1">#N/A</definedName>
    <definedName name="qtychk">#N/A</definedName>
    <definedName name="qtychkrng">#N/A</definedName>
    <definedName name="qwe_1">#N/A</definedName>
    <definedName name="qwe_5">#N/A</definedName>
    <definedName name="qxö" hidden="1">#N/A</definedName>
    <definedName name="ranish">#N/A</definedName>
    <definedName name="ratecc">#N/A</definedName>
    <definedName name="ratecc_22">#N/A</definedName>
    <definedName name="Rates">#N/A</definedName>
    <definedName name="rateusd">#N/A</definedName>
    <definedName name="rateusd_22">#N/A</definedName>
    <definedName name="RATIO">#N/A</definedName>
    <definedName name="Ratios" localSheetId="16">#REF!</definedName>
    <definedName name="Ratios" localSheetId="8">#REF!</definedName>
    <definedName name="RATIOS">#N/A</definedName>
    <definedName name="raw_material" localSheetId="2">[10]Exp!#REF!</definedName>
    <definedName name="raw_material" localSheetId="7">[10]Exp!#REF!</definedName>
    <definedName name="raw_material" localSheetId="15">[10]Exp!#REF!</definedName>
    <definedName name="raw_material" localSheetId="0">[10]Exp!#REF!</definedName>
    <definedName name="raw_material" localSheetId="5">[10]Exp!#REF!</definedName>
    <definedName name="raw_material" localSheetId="13">[10]Exp!#REF!</definedName>
    <definedName name="raw_material" localSheetId="11">[10]Exp!#REF!</definedName>
    <definedName name="raw_material" localSheetId="19">[10]Exp!#REF!</definedName>
    <definedName name="raw_material" localSheetId="3">[10]Exp!#REF!</definedName>
    <definedName name="raw_material">[10]Exp!#REF!</definedName>
    <definedName name="RAWWATER">#N/A</definedName>
    <definedName name="Rcasein">#N/A</definedName>
    <definedName name="receptionpreprocess">#N/A</definedName>
    <definedName name="_xlnm.Recorder" localSheetId="2">#REF!</definedName>
    <definedName name="_xlnm.Recorder" localSheetId="7">#REF!</definedName>
    <definedName name="_xlnm.Recorder" localSheetId="15">#REF!</definedName>
    <definedName name="_xlnm.Recorder" localSheetId="0">#REF!</definedName>
    <definedName name="_xlnm.Recorder" localSheetId="16">#REF!</definedName>
    <definedName name="_xlnm.Recorder" localSheetId="8">#REF!</definedName>
    <definedName name="_xlnm.Recorder" localSheetId="5">#REF!</definedName>
    <definedName name="_xlnm.Recorder" localSheetId="13">#REF!</definedName>
    <definedName name="_xlnm.Recorder" localSheetId="11">#REF!</definedName>
    <definedName name="_xlnm.Recorder" localSheetId="19">#REF!</definedName>
    <definedName name="_xlnm.Recorder" localSheetId="3">#REF!</definedName>
    <definedName name="_xlnm.Recorder">#REF!</definedName>
    <definedName name="recovery">#N/A</definedName>
    <definedName name="REFERENCE">#N/A</definedName>
    <definedName name="REFERENCE_1">#N/A</definedName>
    <definedName name="REFERENCE_22">#N/A</definedName>
    <definedName name="REFERENCE_5">#N/A</definedName>
    <definedName name="refrigeration">#N/A</definedName>
    <definedName name="related_22">#N/A</definedName>
    <definedName name="repayment" localSheetId="2">[25]REPMT!#REF!</definedName>
    <definedName name="repayment" localSheetId="7">[25]REPMT!#REF!</definedName>
    <definedName name="repayment" localSheetId="15">[25]REPMT!#REF!</definedName>
    <definedName name="repayment" localSheetId="0">[25]REPMT!#REF!</definedName>
    <definedName name="repayment" localSheetId="5">[25]REPMT!#REF!</definedName>
    <definedName name="repayment" localSheetId="13">[25]REPMT!#REF!</definedName>
    <definedName name="repayment" localSheetId="11">[25]REPMT!#REF!</definedName>
    <definedName name="repayment" localSheetId="19">[25]REPMT!#REF!</definedName>
    <definedName name="repayment" localSheetId="3">[25]REPMT!#REF!</definedName>
    <definedName name="repayment">[25]REPMT!#REF!</definedName>
    <definedName name="REPORT_2F">#N/A</definedName>
    <definedName name="REPORT8">#N/A</definedName>
    <definedName name="reserves">#N/A</definedName>
    <definedName name="reserves_22">#N/A</definedName>
    <definedName name="Results">#N/A</definedName>
    <definedName name="Results_22">#N/A</definedName>
    <definedName name="return1" localSheetId="2">nopat1/capital1</definedName>
    <definedName name="return1" localSheetId="22">nopat1/capital1</definedName>
    <definedName name="return1" localSheetId="7">nopat1/capital1</definedName>
    <definedName name="return1" localSheetId="15">nopat1/capital1</definedName>
    <definedName name="return1" localSheetId="0">nopat1/capital1</definedName>
    <definedName name="return1" localSheetId="5">nopat1/capital1</definedName>
    <definedName name="return1" localSheetId="13">nopat1/capital1</definedName>
    <definedName name="return1" localSheetId="11">nopat1/capital1</definedName>
    <definedName name="return1" localSheetId="19">nopat1/capital1</definedName>
    <definedName name="return1" localSheetId="3">nopat1/capital1</definedName>
    <definedName name="return1" localSheetId="21">nopat1/capital1</definedName>
    <definedName name="return1" localSheetId="17">nopat1/capital1</definedName>
    <definedName name="return1" localSheetId="9">nopat1/capital1</definedName>
    <definedName name="return1" localSheetId="14">nopat1/capital1</definedName>
    <definedName name="return1" localSheetId="6">nopat1/capital1</definedName>
    <definedName name="return1">nopat1/capital1</definedName>
    <definedName name="return1_2">#NAME?/#NAME?</definedName>
    <definedName name="rghgdbrtr" hidden="1">#N/A</definedName>
    <definedName name="ROECC_22">#N/A</definedName>
    <definedName name="ROEUSD">#N/A</definedName>
    <definedName name="ROEUSD_22">#N/A</definedName>
    <definedName name="RPK_PA">#N/A</definedName>
    <definedName name="rrrrrrrrrrrrrr" hidden="1">#N/A</definedName>
    <definedName name="rrrrrrrrrrrrrrrrr">#N/A</definedName>
    <definedName name="rup" localSheetId="2">[12]CMA!#REF!</definedName>
    <definedName name="rup" localSheetId="7">[12]CMA!#REF!</definedName>
    <definedName name="rup" localSheetId="15">[12]CMA!#REF!</definedName>
    <definedName name="rup" localSheetId="0">[12]CMA!#REF!</definedName>
    <definedName name="rup" localSheetId="5">[12]CMA!#REF!</definedName>
    <definedName name="rup" localSheetId="13">[12]CMA!#REF!</definedName>
    <definedName name="rup" localSheetId="11">[12]CMA!#REF!</definedName>
    <definedName name="rup" localSheetId="19">[12]CMA!#REF!</definedName>
    <definedName name="rup" localSheetId="3">[12]CMA!#REF!</definedName>
    <definedName name="rup" localSheetId="17">[12]CMA!#REF!</definedName>
    <definedName name="rup" localSheetId="9">[12]CMA!#REF!</definedName>
    <definedName name="rup">[12]CMA!#REF!</definedName>
    <definedName name="s" localSheetId="2">[26]CMA!#REF!</definedName>
    <definedName name="s" localSheetId="7">[26]CMA!#REF!</definedName>
    <definedName name="s" localSheetId="15">[26]CMA!#REF!</definedName>
    <definedName name="s" localSheetId="0">[26]CMA!#REF!</definedName>
    <definedName name="s" localSheetId="5">[26]CMA!#REF!</definedName>
    <definedName name="s" localSheetId="13">[26]CMA!#REF!</definedName>
    <definedName name="s" localSheetId="11">[26]CMA!#REF!</definedName>
    <definedName name="s" localSheetId="19">[26]CMA!#REF!</definedName>
    <definedName name="s" localSheetId="3">[26]CMA!#REF!</definedName>
    <definedName name="s" localSheetId="17">[26]CMA!#REF!</definedName>
    <definedName name="s" localSheetId="9">[26]CMA!#REF!</definedName>
    <definedName name="s">[26]CMA!#REF!</definedName>
    <definedName name="SA_PA">#N/A</definedName>
    <definedName name="sadfasdfasf">#N/A</definedName>
    <definedName name="sadfgsfga4" hidden="1">#N/A</definedName>
    <definedName name="SALENTS">#N/A</definedName>
    <definedName name="SalesSept06">#N/A</definedName>
    <definedName name="SalesType">#N/A</definedName>
    <definedName name="SALIENT1">#N/A</definedName>
    <definedName name="SALIENT2">#N/A</definedName>
    <definedName name="sb">#N/A</definedName>
    <definedName name="SC6INV">#N/A</definedName>
    <definedName name="SC6INV_22">#N/A</definedName>
    <definedName name="SC7Drs">#N/A</definedName>
    <definedName name="SC7Drs_22">#N/A</definedName>
    <definedName name="SCH2.1.1">#N/A</definedName>
    <definedName name="SCH2.1.2">#N/A</definedName>
    <definedName name="SCH2.1.3">#N/A</definedName>
    <definedName name="SCH2.1.4">#N/A</definedName>
    <definedName name="SCH2.2">#N/A</definedName>
    <definedName name="SCH2.2.1">#N/A</definedName>
    <definedName name="SCH2.2.2">#N/A</definedName>
    <definedName name="SCH2.3">#N/A</definedName>
    <definedName name="SCH2.3.1">#N/A</definedName>
    <definedName name="SCH2.3.2">#N/A</definedName>
    <definedName name="SCH2.3.3">#N/A</definedName>
    <definedName name="SCH2.4">#N/A</definedName>
    <definedName name="schedule" localSheetId="2">#REF!</definedName>
    <definedName name="schedule" localSheetId="7">#REF!</definedName>
    <definedName name="schedule" localSheetId="15">#REF!</definedName>
    <definedName name="schedule" localSheetId="0">#REF!</definedName>
    <definedName name="schedule" localSheetId="5">#REF!</definedName>
    <definedName name="schedule" localSheetId="13">#REF!</definedName>
    <definedName name="schedule" localSheetId="11">#REF!</definedName>
    <definedName name="schedule" localSheetId="19">#REF!</definedName>
    <definedName name="schedule" localSheetId="3">#REF!</definedName>
    <definedName name="schedule">#REF!</definedName>
    <definedName name="SCHEDULE___01" localSheetId="2">#REF!</definedName>
    <definedName name="SCHEDULE___01" localSheetId="7">#REF!</definedName>
    <definedName name="SCHEDULE___01" localSheetId="15">#REF!</definedName>
    <definedName name="SCHEDULE___01" localSheetId="5">#REF!</definedName>
    <definedName name="SCHEDULE___01" localSheetId="13">#REF!</definedName>
    <definedName name="SCHEDULE___01" localSheetId="11">#REF!</definedName>
    <definedName name="SCHEDULE___01" localSheetId="19">#REF!</definedName>
    <definedName name="SCHEDULE___01" localSheetId="3">#REF!</definedName>
    <definedName name="SCHEDULE___01">#REF!</definedName>
    <definedName name="SCHEDULE___02" localSheetId="2">#REF!</definedName>
    <definedName name="SCHEDULE___02" localSheetId="7">#REF!</definedName>
    <definedName name="SCHEDULE___02" localSheetId="15">#REF!</definedName>
    <definedName name="SCHEDULE___02" localSheetId="11">#REF!</definedName>
    <definedName name="SCHEDULE___02" localSheetId="19">#REF!</definedName>
    <definedName name="SCHEDULE___02" localSheetId="3">#REF!</definedName>
    <definedName name="SCHEDULE___02">#REF!</definedName>
    <definedName name="SCHEDULE___03" localSheetId="2">#REF!</definedName>
    <definedName name="SCHEDULE___03" localSheetId="7">#REF!</definedName>
    <definedName name="SCHEDULE___03" localSheetId="15">#REF!</definedName>
    <definedName name="SCHEDULE___03" localSheetId="11">#REF!</definedName>
    <definedName name="SCHEDULE___03" localSheetId="19">#REF!</definedName>
    <definedName name="SCHEDULE___03" localSheetId="3">#REF!</definedName>
    <definedName name="SCHEDULE___03">#REF!</definedName>
    <definedName name="SCHEDULE___04">'[14]P&amp;M'!$B$1:$E$27</definedName>
    <definedName name="SCHEDULE___05" localSheetId="2">#REF!</definedName>
    <definedName name="SCHEDULE___05" localSheetId="7">#REF!</definedName>
    <definedName name="SCHEDULE___05" localSheetId="15">#REF!</definedName>
    <definedName name="SCHEDULE___05" localSheetId="0">#REF!</definedName>
    <definedName name="SCHEDULE___05" localSheetId="5">#REF!</definedName>
    <definedName name="SCHEDULE___05" localSheetId="13">#REF!</definedName>
    <definedName name="SCHEDULE___05" localSheetId="11">#REF!</definedName>
    <definedName name="SCHEDULE___05" localSheetId="19">#REF!</definedName>
    <definedName name="SCHEDULE___05" localSheetId="3">#REF!</definedName>
    <definedName name="SCHEDULE___05">#REF!</definedName>
    <definedName name="SCHEDULE___06">[14]PP!$B$1:$C$36</definedName>
    <definedName name="SCHEDULE___07" localSheetId="2">#REF!</definedName>
    <definedName name="SCHEDULE___07" localSheetId="7">#REF!</definedName>
    <definedName name="SCHEDULE___07" localSheetId="15">#REF!</definedName>
    <definedName name="SCHEDULE___07" localSheetId="0">#REF!</definedName>
    <definedName name="SCHEDULE___07" localSheetId="5">#REF!</definedName>
    <definedName name="SCHEDULE___07" localSheetId="13">#REF!</definedName>
    <definedName name="SCHEDULE___07" localSheetId="11">#REF!</definedName>
    <definedName name="SCHEDULE___07" localSheetId="19">#REF!</definedName>
    <definedName name="SCHEDULE___07" localSheetId="3">#REF!</definedName>
    <definedName name="SCHEDULE___07">#REF!</definedName>
    <definedName name="SCHEDULE___08_1" localSheetId="2">#REF!</definedName>
    <definedName name="SCHEDULE___08_1" localSheetId="7">#REF!</definedName>
    <definedName name="SCHEDULE___08_1" localSheetId="15">#REF!</definedName>
    <definedName name="SCHEDULE___08_1" localSheetId="5">#REF!</definedName>
    <definedName name="SCHEDULE___08_1" localSheetId="13">#REF!</definedName>
    <definedName name="SCHEDULE___08_1" localSheetId="11">#REF!</definedName>
    <definedName name="SCHEDULE___08_1" localSheetId="19">#REF!</definedName>
    <definedName name="SCHEDULE___08_1" localSheetId="3">#REF!</definedName>
    <definedName name="SCHEDULE___08_1">#REF!</definedName>
    <definedName name="SCHEDULE___09_1" localSheetId="2">#REF!</definedName>
    <definedName name="SCHEDULE___09_1" localSheetId="7">#REF!</definedName>
    <definedName name="SCHEDULE___09_1" localSheetId="15">#REF!</definedName>
    <definedName name="SCHEDULE___09_1" localSheetId="11">#REF!</definedName>
    <definedName name="SCHEDULE___09_1" localSheetId="19">#REF!</definedName>
    <definedName name="SCHEDULE___09_1" localSheetId="3">#REF!</definedName>
    <definedName name="SCHEDULE___09_1">#REF!</definedName>
    <definedName name="SCHEDULE___10" localSheetId="2">[27]Expenses!#REF!</definedName>
    <definedName name="SCHEDULE___10" localSheetId="7">[27]Expenses!#REF!</definedName>
    <definedName name="SCHEDULE___10" localSheetId="15">[27]Expenses!#REF!</definedName>
    <definedName name="SCHEDULE___10" localSheetId="0">[27]Expenses!#REF!</definedName>
    <definedName name="SCHEDULE___10" localSheetId="5">[27]Expenses!#REF!</definedName>
    <definedName name="SCHEDULE___10" localSheetId="13">[27]Expenses!#REF!</definedName>
    <definedName name="SCHEDULE___10" localSheetId="11">[27]Expenses!#REF!</definedName>
    <definedName name="SCHEDULE___10" localSheetId="19">[27]Expenses!#REF!</definedName>
    <definedName name="SCHEDULE___10" localSheetId="3">[27]Expenses!#REF!</definedName>
    <definedName name="SCHEDULE___10">[27]Expenses!#REF!</definedName>
    <definedName name="SCHEDULE___12_1" localSheetId="2">#REF!</definedName>
    <definedName name="SCHEDULE___12_1" localSheetId="7">#REF!</definedName>
    <definedName name="SCHEDULE___12_1" localSheetId="15">#REF!</definedName>
    <definedName name="SCHEDULE___12_1" localSheetId="0">#REF!</definedName>
    <definedName name="SCHEDULE___12_1" localSheetId="5">#REF!</definedName>
    <definedName name="SCHEDULE___12_1" localSheetId="13">#REF!</definedName>
    <definedName name="SCHEDULE___12_1" localSheetId="11">#REF!</definedName>
    <definedName name="SCHEDULE___12_1" localSheetId="19">#REF!</definedName>
    <definedName name="SCHEDULE___12_1" localSheetId="3">#REF!</definedName>
    <definedName name="SCHEDULE___12_1">#REF!</definedName>
    <definedName name="SCHEDULE___13" localSheetId="2">#REF!</definedName>
    <definedName name="SCHEDULE___13" localSheetId="7">#REF!</definedName>
    <definedName name="SCHEDULE___13" localSheetId="15">#REF!</definedName>
    <definedName name="SCHEDULE___13" localSheetId="5">#REF!</definedName>
    <definedName name="SCHEDULE___13" localSheetId="13">#REF!</definedName>
    <definedName name="SCHEDULE___13" localSheetId="11">#REF!</definedName>
    <definedName name="SCHEDULE___13" localSheetId="19">#REF!</definedName>
    <definedName name="SCHEDULE___13" localSheetId="3">#REF!</definedName>
    <definedName name="SCHEDULE___13">#REF!</definedName>
    <definedName name="SCHEDULE___14" localSheetId="2">#REF!</definedName>
    <definedName name="SCHEDULE___14" localSheetId="7">#REF!</definedName>
    <definedName name="SCHEDULE___14" localSheetId="15">#REF!</definedName>
    <definedName name="SCHEDULE___14" localSheetId="11">#REF!</definedName>
    <definedName name="SCHEDULE___14" localSheetId="19">#REF!</definedName>
    <definedName name="SCHEDULE___14" localSheetId="3">#REF!</definedName>
    <definedName name="SCHEDULE___14">#REF!</definedName>
    <definedName name="SCHEDULE___15" localSheetId="2">#REF!</definedName>
    <definedName name="SCHEDULE___15" localSheetId="7">#REF!</definedName>
    <definedName name="SCHEDULE___15" localSheetId="15">#REF!</definedName>
    <definedName name="SCHEDULE___15" localSheetId="11">#REF!</definedName>
    <definedName name="SCHEDULE___15" localSheetId="19">#REF!</definedName>
    <definedName name="SCHEDULE___15" localSheetId="3">#REF!</definedName>
    <definedName name="SCHEDULE___15">#REF!</definedName>
    <definedName name="SCHEDULE___16">[28]CF!$A$1:$I$27</definedName>
    <definedName name="SCHEDULE___17">[14]BS!$A$1:$J$25</definedName>
    <definedName name="SCHEDULE___18">[28]BEP!$A$2:$A$45</definedName>
    <definedName name="SCHEDULE___19">[14]DSCR!$A$1:$G$21</definedName>
    <definedName name="SCHEDULE___20">[28]ROI!$A$1:$K$17</definedName>
    <definedName name="SCHEDULE___21" localSheetId="2">#REF!</definedName>
    <definedName name="SCHEDULE___21" localSheetId="7">#REF!</definedName>
    <definedName name="SCHEDULE___21" localSheetId="15">#REF!</definedName>
    <definedName name="SCHEDULE___21" localSheetId="0">#REF!</definedName>
    <definedName name="SCHEDULE___21" localSheetId="5">#REF!</definedName>
    <definedName name="SCHEDULE___21" localSheetId="13">#REF!</definedName>
    <definedName name="SCHEDULE___21" localSheetId="11">#REF!</definedName>
    <definedName name="SCHEDULE___21" localSheetId="19">#REF!</definedName>
    <definedName name="SCHEDULE___21" localSheetId="3">#REF!</definedName>
    <definedName name="SCHEDULE___21">#REF!</definedName>
    <definedName name="SCHEDULE__02.">[15]land!$A$1:$B$19</definedName>
    <definedName name="schedule_04_2" localSheetId="2">'[10]P&amp;M'!#REF!</definedName>
    <definedName name="schedule_04_2" localSheetId="7">'[10]P&amp;M'!#REF!</definedName>
    <definedName name="schedule_04_2" localSheetId="15">'[10]P&amp;M'!#REF!</definedName>
    <definedName name="schedule_04_2" localSheetId="0">'[10]P&amp;M'!#REF!</definedName>
    <definedName name="schedule_04_2" localSheetId="5">'[10]P&amp;M'!#REF!</definedName>
    <definedName name="schedule_04_2" localSheetId="13">'[10]P&amp;M'!#REF!</definedName>
    <definedName name="schedule_04_2" localSheetId="11">'[10]P&amp;M'!#REF!</definedName>
    <definedName name="schedule_04_2" localSheetId="19">'[10]P&amp;M'!#REF!</definedName>
    <definedName name="schedule_04_2" localSheetId="3">'[10]P&amp;M'!#REF!</definedName>
    <definedName name="schedule_04_2">'[10]P&amp;M'!#REF!</definedName>
    <definedName name="schedule_04_3" localSheetId="2">'[10]P&amp;M'!#REF!</definedName>
    <definedName name="schedule_04_3" localSheetId="7">'[10]P&amp;M'!#REF!</definedName>
    <definedName name="schedule_04_3" localSheetId="15">'[10]P&amp;M'!#REF!</definedName>
    <definedName name="schedule_04_3" localSheetId="0">'[10]P&amp;M'!#REF!</definedName>
    <definedName name="schedule_04_3" localSheetId="5">'[10]P&amp;M'!#REF!</definedName>
    <definedName name="schedule_04_3" localSheetId="13">'[10]P&amp;M'!#REF!</definedName>
    <definedName name="schedule_04_3" localSheetId="11">'[10]P&amp;M'!#REF!</definedName>
    <definedName name="schedule_04_3" localSheetId="19">'[10]P&amp;M'!#REF!</definedName>
    <definedName name="schedule_04_3" localSheetId="3">'[10]P&amp;M'!#REF!</definedName>
    <definedName name="schedule_04_3">'[10]P&amp;M'!#REF!</definedName>
    <definedName name="schedule_04_4" localSheetId="2">'[10]P&amp;M'!#REF!</definedName>
    <definedName name="schedule_04_4" localSheetId="7">'[10]P&amp;M'!#REF!</definedName>
    <definedName name="schedule_04_4" localSheetId="15">'[10]P&amp;M'!#REF!</definedName>
    <definedName name="schedule_04_4" localSheetId="11">'[10]P&amp;M'!#REF!</definedName>
    <definedName name="schedule_04_4" localSheetId="19">'[10]P&amp;M'!#REF!</definedName>
    <definedName name="schedule_04_4" localSheetId="3">'[10]P&amp;M'!#REF!</definedName>
    <definedName name="schedule_04_4">'[10]P&amp;M'!#REF!</definedName>
    <definedName name="schedule_04_5" localSheetId="2">'[10]P&amp;M'!#REF!</definedName>
    <definedName name="schedule_04_5" localSheetId="7">'[10]P&amp;M'!#REF!</definedName>
    <definedName name="schedule_04_5" localSheetId="15">'[10]P&amp;M'!#REF!</definedName>
    <definedName name="schedule_04_5" localSheetId="11">'[10]P&amp;M'!#REF!</definedName>
    <definedName name="schedule_04_5" localSheetId="19">'[10]P&amp;M'!#REF!</definedName>
    <definedName name="schedule_04_5" localSheetId="3">'[10]P&amp;M'!#REF!</definedName>
    <definedName name="schedule_04_5">'[10]P&amp;M'!#REF!</definedName>
    <definedName name="schedule_08_2" localSheetId="2">#REF!</definedName>
    <definedName name="schedule_08_2" localSheetId="7">#REF!</definedName>
    <definedName name="schedule_08_2" localSheetId="15">#REF!</definedName>
    <definedName name="schedule_08_2" localSheetId="0">#REF!</definedName>
    <definedName name="schedule_08_2" localSheetId="5">#REF!</definedName>
    <definedName name="schedule_08_2" localSheetId="13">#REF!</definedName>
    <definedName name="schedule_08_2" localSheetId="11">#REF!</definedName>
    <definedName name="schedule_08_2" localSheetId="19">#REF!</definedName>
    <definedName name="schedule_08_2" localSheetId="3">#REF!</definedName>
    <definedName name="schedule_08_2">#REF!</definedName>
    <definedName name="schedule_09_2" localSheetId="2">#REF!</definedName>
    <definedName name="schedule_09_2" localSheetId="7">#REF!</definedName>
    <definedName name="schedule_09_2" localSheetId="15">#REF!</definedName>
    <definedName name="schedule_09_2" localSheetId="5">#REF!</definedName>
    <definedName name="schedule_09_2" localSheetId="13">#REF!</definedName>
    <definedName name="schedule_09_2" localSheetId="11">#REF!</definedName>
    <definedName name="schedule_09_2" localSheetId="19">#REF!</definedName>
    <definedName name="schedule_09_2" localSheetId="3">#REF!</definedName>
    <definedName name="schedule_09_2">#REF!</definedName>
    <definedName name="Schedule_11___Miscellaneous_expenditure_22">#N/A</definedName>
    <definedName name="Schedule_12___Profit_and_Loss_account">#N/A</definedName>
    <definedName name="Schedule_12___Profit_and_Loss_account_22">#N/A</definedName>
    <definedName name="schedule_12_2" localSheetId="2">#REF!</definedName>
    <definedName name="schedule_12_2" localSheetId="7">#REF!</definedName>
    <definedName name="schedule_12_2" localSheetId="15">#REF!</definedName>
    <definedName name="schedule_12_2" localSheetId="0">#REF!</definedName>
    <definedName name="schedule_12_2" localSheetId="5">#REF!</definedName>
    <definedName name="schedule_12_2" localSheetId="13">#REF!</definedName>
    <definedName name="schedule_12_2" localSheetId="11">#REF!</definedName>
    <definedName name="schedule_12_2" localSheetId="19">#REF!</definedName>
    <definedName name="schedule_12_2" localSheetId="3">#REF!</definedName>
    <definedName name="schedule_12_2">#REF!</definedName>
    <definedName name="Schedule_13___Sales_22">#N/A</definedName>
    <definedName name="Schedule_2___Reserves_and_surplus">#N/A</definedName>
    <definedName name="Schedule_2___Reserves_and_surplus_22">#N/A</definedName>
    <definedName name="Schedule_4___Fixed_Assets_1">#N/A</definedName>
    <definedName name="Schedule_4___Fixed_Assets_22">#N/A</definedName>
    <definedName name="Schedule_4___Fixed_Assets_5">#N/A</definedName>
    <definedName name="Schedule_6____Inventories_22">#N/A</definedName>
    <definedName name="Schedule_7___Sundry_debtors_22">#N/A</definedName>
    <definedName name="schedule_a">#N/A</definedName>
    <definedName name="schedule_a_1">#N/A</definedName>
    <definedName name="schedule_a_10">#N/A</definedName>
    <definedName name="schedule_a_2">#N/A</definedName>
    <definedName name="schedule_a_22">#N/A</definedName>
    <definedName name="schedule_a_3">#N/A</definedName>
    <definedName name="schedule_a_5">#N/A</definedName>
    <definedName name="schedule_b">#N/A</definedName>
    <definedName name="schedule_b_1">#N/A</definedName>
    <definedName name="schedule_b_10">#N/A</definedName>
    <definedName name="schedule_b_2">#N/A</definedName>
    <definedName name="schedule_b_22">#N/A</definedName>
    <definedName name="schedule_b_3">#N/A</definedName>
    <definedName name="schedule_b_5">#N/A</definedName>
    <definedName name="schedule_c">#N/A</definedName>
    <definedName name="schedule_c_1">#N/A</definedName>
    <definedName name="schedule_d">#N/A</definedName>
    <definedName name="schedule_d_1">#N/A</definedName>
    <definedName name="schedule_e">#N/A</definedName>
    <definedName name="schedule_e_1">#N/A</definedName>
    <definedName name="schedule_e_2">#N/A</definedName>
    <definedName name="schedule_e_22">#N/A</definedName>
    <definedName name="schedule_e_3">#N/A</definedName>
    <definedName name="schedule_e_5">#N/A</definedName>
    <definedName name="schedule_g">#N/A</definedName>
    <definedName name="schedule_g_1">#N/A</definedName>
    <definedName name="schedule_h">#N/A</definedName>
    <definedName name="schedule_h_1">#N/A</definedName>
    <definedName name="schedule_i">#N/A</definedName>
    <definedName name="schedule_i_1">#N/A</definedName>
    <definedName name="ScheduleD">#N/A</definedName>
    <definedName name="SCHFA_22">#N/A</definedName>
    <definedName name="SD_SB">#N/A</definedName>
    <definedName name="sdfgsgdsh54" hidden="1">#N/A</definedName>
    <definedName name="sdfwefewfse" hidden="1">#N/A</definedName>
    <definedName name="service" hidden="1">#N/A</definedName>
    <definedName name="SHARED_FORMULA_0">#N/A</definedName>
    <definedName name="SHARED_FORMULA_1">#N/A</definedName>
    <definedName name="SHARED_FORMULA_10">#N/A</definedName>
    <definedName name="SHARED_FORMULA_11">60958/18</definedName>
    <definedName name="SHARED_FORMULA_12">11825/18</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3">#N/A</definedName>
    <definedName name="SHARED_FORMULA_4">#N/A</definedName>
    <definedName name="SHARED_FORMULA_5">#N/A</definedName>
    <definedName name="SHARED_FORMULA_6">#N/A</definedName>
    <definedName name="SHARED_FORMULA_7">#N/A</definedName>
    <definedName name="SHARED_FORMULA_8">#N/A</definedName>
    <definedName name="SHARED_FORMULA_9">#N/A</definedName>
    <definedName name="sign1_1">#N/A</definedName>
    <definedName name="sign1_10">#N/A</definedName>
    <definedName name="sign1_14">#N/A</definedName>
    <definedName name="sign1_15">#N/A</definedName>
    <definedName name="sign1_19">#N/A</definedName>
    <definedName name="sign1_2">#N/A</definedName>
    <definedName name="sign1_22">#N/A</definedName>
    <definedName name="sign1_3">#N/A</definedName>
    <definedName name="sign1_5">#N/A</definedName>
    <definedName name="sign2">#N/A</definedName>
    <definedName name="sign2_1">#N/A</definedName>
    <definedName name="sign2_10">#N/A</definedName>
    <definedName name="sign2_14">#N/A</definedName>
    <definedName name="sign2_15">#N/A</definedName>
    <definedName name="sign2_19">#N/A</definedName>
    <definedName name="sign2_2">#N/A</definedName>
    <definedName name="sign2_22">#N/A</definedName>
    <definedName name="sign2_3">#N/A</definedName>
    <definedName name="sign2_5">#N/A</definedName>
    <definedName name="sign3">#N/A</definedName>
    <definedName name="sign3_1">#N/A</definedName>
    <definedName name="sign3_10">#N/A</definedName>
    <definedName name="sign3_14">#N/A</definedName>
    <definedName name="sign3_15">#N/A</definedName>
    <definedName name="sign3_19">#N/A</definedName>
    <definedName name="sign3_2">#N/A</definedName>
    <definedName name="sign3_22">#N/A</definedName>
    <definedName name="sign3_3">#N/A</definedName>
    <definedName name="sign3_5">#N/A</definedName>
    <definedName name="sjakl" localSheetId="2">[12]CMA!#REF!</definedName>
    <definedName name="sjakl" localSheetId="7">[12]CMA!#REF!</definedName>
    <definedName name="sjakl" localSheetId="15">[12]CMA!#REF!</definedName>
    <definedName name="sjakl" localSheetId="0">[12]CMA!#REF!</definedName>
    <definedName name="sjakl" localSheetId="5">[12]CMA!#REF!</definedName>
    <definedName name="sjakl" localSheetId="13">[12]CMA!#REF!</definedName>
    <definedName name="sjakl" localSheetId="11">[12]CMA!#REF!</definedName>
    <definedName name="sjakl" localSheetId="19">[12]CMA!#REF!</definedName>
    <definedName name="sjakl" localSheetId="3">[12]CMA!#REF!</definedName>
    <definedName name="sjakl">[12]CMA!#REF!</definedName>
    <definedName name="SNAP">#N/A</definedName>
    <definedName name="SNAP_22">#N/A</definedName>
    <definedName name="SOJA89">#N/A</definedName>
    <definedName name="SOJA89_10">#N/A</definedName>
    <definedName name="SOJA90">#N/A</definedName>
    <definedName name="SOJA90_10">#N/A</definedName>
    <definedName name="SORGO">#N/A</definedName>
    <definedName name="SORGO_10">#N/A</definedName>
    <definedName name="spread150garlic">#N/A</definedName>
    <definedName name="spread150onion">#N/A</definedName>
    <definedName name="Spread150pep">#N/A</definedName>
    <definedName name="SSFD">#N/A</definedName>
    <definedName name="SSFD_22">#N/A</definedName>
    <definedName name="STAFF_UPDATE">#N/A</definedName>
    <definedName name="step">[11]wwww!$P$77</definedName>
    <definedName name="STG">#N/A</definedName>
    <definedName name="SumCellsBSB">#N/A</definedName>
    <definedName name="SumCellsPL">#N/A</definedName>
    <definedName name="SumCellsPLB">#N/A</definedName>
    <definedName name="summaryslim">#N/A</definedName>
    <definedName name="summarytoned">#N/A</definedName>
    <definedName name="sumr" localSheetId="2">[27]Expenses!#REF!</definedName>
    <definedName name="sumr" localSheetId="7">[27]Expenses!#REF!</definedName>
    <definedName name="sumr" localSheetId="15">[27]Expenses!#REF!</definedName>
    <definedName name="sumr" localSheetId="0">[27]Expenses!#REF!</definedName>
    <definedName name="sumr" localSheetId="5">[27]Expenses!#REF!</definedName>
    <definedName name="sumr" localSheetId="13">[27]Expenses!#REF!</definedName>
    <definedName name="sumr" localSheetId="11">[27]Expenses!#REF!</definedName>
    <definedName name="sumr" localSheetId="19">[27]Expenses!#REF!</definedName>
    <definedName name="sumr" localSheetId="3">[27]Expenses!#REF!</definedName>
    <definedName name="sumr">[27]Expenses!#REF!</definedName>
    <definedName name="SYSTEMS__SPARES___SERVICE_SALES_000_s">#N/A</definedName>
    <definedName name="SYSTEMS__SPARES___SERVICE_SALES_000_s_I_G">#N/A</definedName>
    <definedName name="SYSTEMS_SPARES">#N/A</definedName>
    <definedName name="SYSTEMS_SPARES_DISTR">#N/A</definedName>
    <definedName name="T" localSheetId="2">#REF!</definedName>
    <definedName name="T" localSheetId="7">#REF!</definedName>
    <definedName name="T" localSheetId="15">#REF!</definedName>
    <definedName name="T" localSheetId="0">#REF!</definedName>
    <definedName name="T" localSheetId="5">#REF!</definedName>
    <definedName name="T" localSheetId="13">#REF!</definedName>
    <definedName name="T" localSheetId="11">#REF!</definedName>
    <definedName name="T" localSheetId="19">#REF!</definedName>
    <definedName name="T" localSheetId="3">#REF!</definedName>
    <definedName name="T">#REF!</definedName>
    <definedName name="T_02">#N/A</definedName>
    <definedName name="T_03">#N/A</definedName>
    <definedName name="T_06">#N/A</definedName>
    <definedName name="T_07">#N/A</definedName>
    <definedName name="T_08">#N/A</definedName>
    <definedName name="TAHOMA_22">#N/A</definedName>
    <definedName name="TAXAUD">#N/A</definedName>
    <definedName name="TAXAUD_22">#N/A</definedName>
    <definedName name="taxcomp">#N/A</definedName>
    <definedName name="TAXRNG">#N/A</definedName>
    <definedName name="TAXRNG_22">#N/A</definedName>
    <definedName name="TaxTV">10%</definedName>
    <definedName name="TaxXL">5%</definedName>
    <definedName name="TB">#N/A</definedName>
    <definedName name="TB_22">#N/A</definedName>
    <definedName name="TBData1">#N/A</definedName>
    <definedName name="TBData2">#N/A</definedName>
    <definedName name="TBData3">#N/A</definedName>
    <definedName name="TBData4">#N/A</definedName>
    <definedName name="TBDataFill1">#N/A</definedName>
    <definedName name="TBDataFill2">#N/A</definedName>
    <definedName name="TBDataFill3">#N/A</definedName>
    <definedName name="TBDataFill4">#N/A</definedName>
    <definedName name="TBMONTHLY">#N/A</definedName>
    <definedName name="TBWD">#N/A</definedName>
    <definedName name="TDS">#N/A</definedName>
    <definedName name="TDS_22">#N/A</definedName>
    <definedName name="TEC">#N/A</definedName>
    <definedName name="TEMPOR_22">#N/A</definedName>
    <definedName name="Term" localSheetId="2">'[29]Project Cost'!#REF!</definedName>
    <definedName name="Term" localSheetId="22">'[29]Project Cost'!#REF!</definedName>
    <definedName name="Term">'[29]Project Cost'!#REF!</definedName>
    <definedName name="Test">#N/A</definedName>
    <definedName name="Test_22">#N/A</definedName>
    <definedName name="TEST0">#N/A</definedName>
    <definedName name="TEST0_22">#N/A</definedName>
    <definedName name="TEST1">#N/A</definedName>
    <definedName name="TEST10">#N/A</definedName>
    <definedName name="TEST11">#N/A</definedName>
    <definedName name="TEST12">#N/A</definedName>
    <definedName name="TEST13">#N/A</definedName>
    <definedName name="Test2">#N/A</definedName>
    <definedName name="Test2_22">#N/A</definedName>
    <definedName name="Test3">#N/A</definedName>
    <definedName name="Test3_22">#N/A</definedName>
    <definedName name="TEST4">#N/A</definedName>
    <definedName name="TEST5">#N/A</definedName>
    <definedName name="TEST6">#N/A</definedName>
    <definedName name="TEST7">#N/A</definedName>
    <definedName name="TEST8">#N/A</definedName>
    <definedName name="test9">#N/A</definedName>
    <definedName name="test9_22">#N/A</definedName>
    <definedName name="TESTHKEY">#N/A</definedName>
    <definedName name="TESTHKEY_22">#N/A</definedName>
    <definedName name="TESTKEYS">#N/A</definedName>
    <definedName name="TESTKEYS_22">#N/A</definedName>
    <definedName name="TestRow">#N/A</definedName>
    <definedName name="TestSource">#N/A</definedName>
    <definedName name="TestTarget">#N/A</definedName>
    <definedName name="TESTVKEY">#N/A</definedName>
    <definedName name="TESTVKEY_22">#N/A</definedName>
    <definedName name="TextRefCopyRangeCount" hidden="1">7</definedName>
    <definedName name="TInvRng">#N/A</definedName>
    <definedName name="title">#N/A</definedName>
    <definedName name="TM_PA">#N/A</definedName>
    <definedName name="TOP" localSheetId="2">#REF!</definedName>
    <definedName name="TOP" localSheetId="22">#REF!</definedName>
    <definedName name="TOP">#REF!</definedName>
    <definedName name="Total">#N/A</definedName>
    <definedName name="Total_Assets__34_37_41_42" localSheetId="2">#REF!</definedName>
    <definedName name="Total_Assets__34_37_41_42" localSheetId="22">#REF!</definedName>
    <definedName name="Total_Assets__34_37_41_42">#REF!</definedName>
    <definedName name="TOTAL_LIABILITIES__18___24" localSheetId="2">#REF!</definedName>
    <definedName name="TOTAL_LIABILITIES__18___24" localSheetId="22">#REF!</definedName>
    <definedName name="TOTAL_LIABILITIES__18___24">#REF!</definedName>
    <definedName name="TOTALINV">#N/A</definedName>
    <definedName name="TqtyRng">#N/A</definedName>
    <definedName name="TR_GROWTH_VAR">[30]COMPARATIVE!$M$14</definedName>
    <definedName name="TRAF_DIVERT">[30]COMPARATIVE!$M$12</definedName>
    <definedName name="trg01_22">#N/A</definedName>
    <definedName name="trial">#N/A</definedName>
    <definedName name="trial_22">#N/A</definedName>
    <definedName name="ttt" localSheetId="2">#REF!</definedName>
    <definedName name="ttt" localSheetId="7">#REF!</definedName>
    <definedName name="ttt" localSheetId="15">#REF!</definedName>
    <definedName name="ttt" localSheetId="0">#REF!</definedName>
    <definedName name="ttt" localSheetId="5">#REF!</definedName>
    <definedName name="ttt" localSheetId="13">#REF!</definedName>
    <definedName name="ttt" localSheetId="11">#REF!</definedName>
    <definedName name="ttt" localSheetId="19">#REF!</definedName>
    <definedName name="ttt" localSheetId="3">#REF!</definedName>
    <definedName name="ttt">#REF!</definedName>
    <definedName name="ttttttttttt" hidden="1">#N/A</definedName>
    <definedName name="ttttttttttttttt">#N/A</definedName>
    <definedName name="tttttttttttttttttttt">#N/A</definedName>
    <definedName name="u" localSheetId="2">[8]WC!#REF!</definedName>
    <definedName name="u" localSheetId="7">[8]WC!#REF!</definedName>
    <definedName name="u" localSheetId="15">[8]WC!#REF!</definedName>
    <definedName name="u" localSheetId="0">[8]WC!#REF!</definedName>
    <definedName name="u" localSheetId="5">[8]WC!#REF!</definedName>
    <definedName name="u" localSheetId="13">[8]WC!#REF!</definedName>
    <definedName name="u" localSheetId="11">[8]WC!#REF!</definedName>
    <definedName name="u" localSheetId="19">[8]WC!#REF!</definedName>
    <definedName name="u" localSheetId="3">[8]WC!#REF!</definedName>
    <definedName name="u">[8]WC!#REF!</definedName>
    <definedName name="uiii">#N/A</definedName>
    <definedName name="Umsatzdiagramm">#N/A</definedName>
    <definedName name="units">[31]Company!$J$16</definedName>
    <definedName name="unsecuredloan">#N/A</definedName>
    <definedName name="unsecuredloan_22">#N/A</definedName>
    <definedName name="UPDATE">#N/A</definedName>
    <definedName name="UPDATE_ALL">#N/A</definedName>
    <definedName name="UPDATE_DIS">#N/A</definedName>
    <definedName name="UPDATE_IG">#N/A</definedName>
    <definedName name="UPDATE_THDP">#N/A</definedName>
    <definedName name="UPDATE_YTD_NOS">#N/A</definedName>
    <definedName name="USD_22">#N/A</definedName>
    <definedName name="usoft">#N/A</definedName>
    <definedName name="USRMrate">#N/A</definedName>
    <definedName name="utili">#N/A</definedName>
    <definedName name="Utilities">#N/A</definedName>
    <definedName name="uu">#N/A</definedName>
    <definedName name="uuu" localSheetId="2">#REF!</definedName>
    <definedName name="uuu" localSheetId="7">#REF!</definedName>
    <definedName name="uuu" localSheetId="15">#REF!</definedName>
    <definedName name="uuu" localSheetId="0">#REF!</definedName>
    <definedName name="uuu" localSheetId="5">#REF!</definedName>
    <definedName name="uuu" localSheetId="13">#REF!</definedName>
    <definedName name="uuu" localSheetId="11">#REF!</definedName>
    <definedName name="uuu" localSheetId="19">#REF!</definedName>
    <definedName name="uuu" localSheetId="3">#REF!</definedName>
    <definedName name="uuu">#REF!</definedName>
    <definedName name="uuuuuuuuuuuuuuu" hidden="1">#N/A</definedName>
    <definedName name="uuuuuuuuuuuuuuuu">#N/A</definedName>
    <definedName name="uuuuuuuuuuuuuuuuuuu">#N/A</definedName>
    <definedName name="ValuesBSA">[32]BS!$B$2:$O$3,[32]BS!$B$7:$O$13,[32]BS!$C$16:$O$17,[32]BS!$B$20:$O$20,[32]BS!$B$35:$O$37,[32]BS!$B$55:$O$55</definedName>
    <definedName name="vdfgwfwef" hidden="1">#N/A</definedName>
    <definedName name="vdfvrfrw3" hidden="1">#N/A</definedName>
    <definedName name="vdfvtg56">#N/A</definedName>
    <definedName name="VE9_1">#N/A</definedName>
    <definedName name="VE9_5">#N/A</definedName>
    <definedName name="Version">#N/A</definedName>
    <definedName name="Version_22">#N/A</definedName>
    <definedName name="vfdfrgr" hidden="1">#N/A</definedName>
    <definedName name="VI" hidden="1">#N/A</definedName>
    <definedName name="viju">#N/A</definedName>
    <definedName name="VS">#N/A</definedName>
    <definedName name="VT_PA">#N/A</definedName>
    <definedName name="vvvv4" hidden="1">#N/A</definedName>
    <definedName name="vvvvvvvvvvv" hidden="1">#N/A</definedName>
    <definedName name="W">#N/A</definedName>
    <definedName name="wa">#N/A</definedName>
    <definedName name="wacc" localSheetId="2">#REF!</definedName>
    <definedName name="wacc" localSheetId="7">#REF!</definedName>
    <definedName name="wacc" localSheetId="15">#REF!</definedName>
    <definedName name="wacc" localSheetId="0">#REF!</definedName>
    <definedName name="wacc" localSheetId="5">#REF!</definedName>
    <definedName name="wacc" localSheetId="13">#REF!</definedName>
    <definedName name="wacc" localSheetId="11">#REF!</definedName>
    <definedName name="wacc" localSheetId="19">#REF!</definedName>
    <definedName name="wacc" localSheetId="3">#REF!</definedName>
    <definedName name="wacc">#REF!</definedName>
    <definedName name="Waiting">"Picture 1"</definedName>
    <definedName name="water">#N/A</definedName>
    <definedName name="watertreat">#N/A</definedName>
    <definedName name="wb">#N/A</definedName>
    <definedName name="wer">#N/A</definedName>
    <definedName name="wer_1">#N/A</definedName>
    <definedName name="wer_5">#N/A</definedName>
    <definedName name="whey">#N/A</definedName>
    <definedName name="whyshy">#N/A</definedName>
    <definedName name="Width">2</definedName>
    <definedName name="WPICRATE">#N/A</definedName>
    <definedName name="WPRMrate">#N/A</definedName>
    <definedName name="WSCH8_22">#N/A</definedName>
    <definedName name="www">#N/A</definedName>
    <definedName name="wwwwwwwwwww" hidden="1">#N/A</definedName>
    <definedName name="XRefColumnsCount" hidden="1">18</definedName>
    <definedName name="XRefCopy13" hidden="1">#N/A</definedName>
    <definedName name="XRefCopy13Row" hidden="1">#N/A</definedName>
    <definedName name="XRefCopy14" hidden="1">#N/A</definedName>
    <definedName name="XRefCopy14Row" hidden="1">#N/A</definedName>
    <definedName name="XRefCopy15Row" hidden="1">#N/A</definedName>
    <definedName name="XRefCopy4Row" hidden="1">#N/A</definedName>
    <definedName name="XRefCopy7Row" hidden="1">#N/A</definedName>
    <definedName name="XRefCopyRangeCount" hidden="1">60</definedName>
    <definedName name="XRefPaste12Row" hidden="1">#N/A</definedName>
    <definedName name="XRefPaste13Row" hidden="1">#N/A</definedName>
    <definedName name="XRefPaste14Row" hidden="1">#N/A</definedName>
    <definedName name="XRefPaste6Row" hidden="1">#N/A</definedName>
    <definedName name="XRefPasteRangeCount" hidden="1">22</definedName>
    <definedName name="ydf" hidden="1">#N/A</definedName>
    <definedName name="YearType">[16]Data!$A$1:$IV$1</definedName>
    <definedName name="yes2">[23]Input!$C$162</definedName>
    <definedName name="yes3">[23]Input!$D$162</definedName>
    <definedName name="yes4">[23]Input!$E$162</definedName>
    <definedName name="yes5">[23]Input!$F$162</definedName>
    <definedName name="yes6">[23]Input!$G$162</definedName>
    <definedName name="yes7">[23]Input!$H$162</definedName>
    <definedName name="yes8">[23]Input!$I$162</definedName>
    <definedName name="yes9">[23]Input!$J$162</definedName>
    <definedName name="yyyyyyyyyyyyy" hidden="1">#N/A</definedName>
    <definedName name="z">#N/A</definedName>
    <definedName name="zzzz">#N/A</definedName>
    <definedName name="zzzzzzzzzzzzzzz" hidden="1">#N/A</definedName>
    <definedName name="באור_זכאים">#N/A</definedName>
    <definedName name="הוצאות_הנהלה">#N/A</definedName>
    <definedName name="הוצאות_הנהלה_נומינליות">#N/A</definedName>
    <definedName name="הוצאות_מכירה">#N/A</definedName>
    <definedName name="הוצאות_מכירה_נומינליות">#N/A</definedName>
    <definedName name="הכל">#N/A</definedName>
    <definedName name="הנהלה_1997">#N/A</definedName>
    <definedName name="הרכבה">#N/A</definedName>
    <definedName name="הרכבהסו2">#N/A</definedName>
    <definedName name="השקעהבטכם">#N/A</definedName>
    <definedName name="חוז_מס">#N/A</definedName>
    <definedName name="מכירה">#N/A</definedName>
    <definedName name="מכירה_מותאם">#N/A</definedName>
    <definedName name="מלאי_בסניפים">#N/A</definedName>
    <definedName name="נתא">#N/A</definedName>
    <definedName name="נתוחים">#N/A</definedName>
    <definedName name="עמלות_זכיינים_ברווהפ">#N/A</definedName>
    <definedName name="פרופורמת_מס">#N/A</definedName>
    <definedName name="קומפרו">#N/A</definedName>
    <definedName name="קוננס">#N/A</definedName>
    <definedName name="קונתהל">#N/A</definedName>
    <definedName name="רווח_גלמי_97">#N/A</definedName>
    <definedName name="רווח_גלמי_נומינלי_עד_1996">#N/A</definedName>
    <definedName name="שחיקת_מקדמות">#N/A</definedName>
    <definedName name="תזרים">#N/A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77" l="1"/>
  <c r="J28" i="84" s="1"/>
  <c r="I15" i="50"/>
  <c r="J11" i="77"/>
  <c r="J10" i="84" s="1"/>
  <c r="K16" i="77"/>
  <c r="K15" i="84" s="1"/>
  <c r="J16" i="77"/>
  <c r="J15" i="84" s="1"/>
  <c r="I16" i="77"/>
  <c r="I24" i="75"/>
  <c r="H24" i="75"/>
  <c r="I17" i="75"/>
  <c r="H17" i="75"/>
  <c r="I16" i="75"/>
  <c r="H16" i="75"/>
  <c r="I15" i="75"/>
  <c r="I18" i="75" s="1"/>
  <c r="I19" i="75" s="1"/>
  <c r="I20" i="75" s="1"/>
  <c r="I22" i="75" s="1"/>
  <c r="H15" i="75"/>
  <c r="I13" i="75"/>
  <c r="H13" i="75"/>
  <c r="I12" i="75"/>
  <c r="I14" i="75" s="1"/>
  <c r="H12" i="75"/>
  <c r="H14" i="75" s="1"/>
  <c r="I9" i="75"/>
  <c r="H9" i="75"/>
  <c r="I8" i="75"/>
  <c r="I10" i="75" s="1"/>
  <c r="H8" i="75"/>
  <c r="H10" i="75" s="1"/>
  <c r="I7" i="75"/>
  <c r="I11" i="75" s="1"/>
  <c r="H7" i="75"/>
  <c r="H11" i="75" s="1"/>
  <c r="I5" i="75"/>
  <c r="I6" i="75" s="1"/>
  <c r="H5" i="75"/>
  <c r="H6" i="75" s="1"/>
  <c r="I4" i="75"/>
  <c r="H4" i="75"/>
  <c r="K28" i="50"/>
  <c r="J28" i="50"/>
  <c r="I28" i="50"/>
  <c r="H28" i="50"/>
  <c r="G28" i="50"/>
  <c r="K21" i="50"/>
  <c r="K21" i="84" s="1"/>
  <c r="K20" i="50"/>
  <c r="K20" i="84" s="1"/>
  <c r="J21" i="50"/>
  <c r="J21" i="84" s="1"/>
  <c r="J20" i="50"/>
  <c r="J31" i="3"/>
  <c r="J31" i="85" s="1"/>
  <c r="L253" i="64"/>
  <c r="J20" i="3" s="1"/>
  <c r="J20" i="85" s="1"/>
  <c r="M248" i="64"/>
  <c r="K15" i="3" s="1"/>
  <c r="K15" i="85" s="1"/>
  <c r="L248" i="64"/>
  <c r="J15" i="3" s="1"/>
  <c r="J15" i="85" s="1"/>
  <c r="M129" i="64"/>
  <c r="L129" i="64"/>
  <c r="K129" i="64"/>
  <c r="J129" i="64"/>
  <c r="I129" i="64"/>
  <c r="H129" i="64"/>
  <c r="G129" i="64"/>
  <c r="F129" i="64"/>
  <c r="E129" i="64"/>
  <c r="M132" i="64"/>
  <c r="M161" i="64" s="1"/>
  <c r="M38" i="64"/>
  <c r="M130" i="64" s="1"/>
  <c r="L38" i="64"/>
  <c r="L130" i="64" s="1"/>
  <c r="K38" i="64"/>
  <c r="J38" i="64"/>
  <c r="I38" i="64"/>
  <c r="H38" i="64"/>
  <c r="G38" i="64"/>
  <c r="F38" i="64"/>
  <c r="K31" i="85"/>
  <c r="K36" i="84"/>
  <c r="J36" i="84"/>
  <c r="K28" i="84"/>
  <c r="K27" i="84"/>
  <c r="J27" i="84"/>
  <c r="K23" i="84"/>
  <c r="J23" i="84"/>
  <c r="K13" i="84"/>
  <c r="J13" i="84"/>
  <c r="K9" i="84"/>
  <c r="J9" i="84"/>
  <c r="K6" i="84"/>
  <c r="J6" i="84"/>
  <c r="M19" i="65"/>
  <c r="N19" i="65" s="1"/>
  <c r="M18" i="65"/>
  <c r="N18" i="65" s="1"/>
  <c r="M17" i="65"/>
  <c r="N17" i="65" s="1"/>
  <c r="M16" i="65"/>
  <c r="N16" i="65" s="1"/>
  <c r="M15" i="65"/>
  <c r="M20" i="65" s="1"/>
  <c r="M14" i="65"/>
  <c r="N14" i="65" s="1"/>
  <c r="G134" i="70"/>
  <c r="D134" i="70"/>
  <c r="C134" i="70"/>
  <c r="F132" i="70"/>
  <c r="B132" i="70"/>
  <c r="E132" i="70" s="1"/>
  <c r="F130" i="70"/>
  <c r="B130" i="70"/>
  <c r="E130" i="70" s="1"/>
  <c r="F128" i="70"/>
  <c r="B128" i="70"/>
  <c r="E128" i="70" s="1"/>
  <c r="F126" i="70"/>
  <c r="F134" i="70" s="1"/>
  <c r="E126" i="70"/>
  <c r="B126" i="70"/>
  <c r="F124" i="70"/>
  <c r="I124" i="70" s="1"/>
  <c r="B124" i="70"/>
  <c r="B134" i="70" s="1"/>
  <c r="G121" i="70"/>
  <c r="D121" i="70"/>
  <c r="C121" i="70"/>
  <c r="F119" i="70"/>
  <c r="B119" i="70"/>
  <c r="E119" i="70" s="1"/>
  <c r="F117" i="70"/>
  <c r="B117" i="70"/>
  <c r="E117" i="70" s="1"/>
  <c r="F115" i="70"/>
  <c r="B115" i="70"/>
  <c r="E115" i="70" s="1"/>
  <c r="F113" i="70"/>
  <c r="F121" i="70" s="1"/>
  <c r="E113" i="70"/>
  <c r="B113" i="70"/>
  <c r="F111" i="70"/>
  <c r="I111" i="70" s="1"/>
  <c r="B111" i="70"/>
  <c r="B121" i="70" s="1"/>
  <c r="O18" i="51"/>
  <c r="N18" i="51"/>
  <c r="O11" i="51"/>
  <c r="O12" i="51" s="1"/>
  <c r="O14" i="51" s="1"/>
  <c r="O16" i="51" s="1"/>
  <c r="O17" i="51" s="1"/>
  <c r="O19" i="51" s="1"/>
  <c r="M235" i="64" s="1"/>
  <c r="N11" i="51"/>
  <c r="N12" i="51" s="1"/>
  <c r="N14" i="51" s="1"/>
  <c r="N16" i="51" s="1"/>
  <c r="N17" i="51" s="1"/>
  <c r="N19" i="51" s="1"/>
  <c r="L235" i="64" s="1"/>
  <c r="M255" i="64"/>
  <c r="K22" i="3" s="1"/>
  <c r="K22" i="85" s="1"/>
  <c r="L255" i="64"/>
  <c r="J22" i="3" s="1"/>
  <c r="J22" i="85" s="1"/>
  <c r="K20" i="3"/>
  <c r="K20" i="85" s="1"/>
  <c r="M170" i="64"/>
  <c r="M171" i="64" s="1"/>
  <c r="M173" i="64" s="1"/>
  <c r="M177" i="64" s="1"/>
  <c r="M224" i="64" s="1"/>
  <c r="L170" i="64"/>
  <c r="L171" i="64" s="1"/>
  <c r="L173" i="64" s="1"/>
  <c r="L177" i="64" s="1"/>
  <c r="L224" i="64" s="1"/>
  <c r="L132" i="64"/>
  <c r="L161" i="64" s="1"/>
  <c r="M65" i="64"/>
  <c r="M66" i="64" s="1"/>
  <c r="L65" i="64"/>
  <c r="L66" i="64" s="1"/>
  <c r="M48" i="64"/>
  <c r="M49" i="64" s="1"/>
  <c r="L48" i="64"/>
  <c r="L49" i="64" s="1"/>
  <c r="K21" i="3"/>
  <c r="K21" i="85" s="1"/>
  <c r="J21" i="3"/>
  <c r="J21" i="85" s="1"/>
  <c r="K11" i="3"/>
  <c r="K11" i="85" s="1"/>
  <c r="J11" i="3"/>
  <c r="J11" i="85" s="1"/>
  <c r="K15" i="50"/>
  <c r="J15" i="50"/>
  <c r="K10" i="50"/>
  <c r="J10" i="50"/>
  <c r="K9" i="50"/>
  <c r="J9" i="50"/>
  <c r="J37" i="50"/>
  <c r="K37" i="50" s="1"/>
  <c r="K22" i="77"/>
  <c r="J22" i="77"/>
  <c r="K21" i="77"/>
  <c r="J21" i="77"/>
  <c r="K31" i="78"/>
  <c r="J31" i="78"/>
  <c r="M243" i="79"/>
  <c r="K20" i="78" s="1"/>
  <c r="L243" i="79"/>
  <c r="M238" i="79"/>
  <c r="K15" i="78" s="1"/>
  <c r="L238" i="79"/>
  <c r="J15" i="78" s="1"/>
  <c r="M123" i="79"/>
  <c r="L123" i="79"/>
  <c r="M122" i="79"/>
  <c r="L122" i="79"/>
  <c r="L134" i="79" s="1"/>
  <c r="M120" i="79"/>
  <c r="L120" i="79"/>
  <c r="M119" i="79"/>
  <c r="L119" i="79"/>
  <c r="K119" i="79"/>
  <c r="J119" i="79"/>
  <c r="I119" i="79"/>
  <c r="H119" i="79"/>
  <c r="G119" i="79"/>
  <c r="L33" i="79"/>
  <c r="L35" i="79" s="1"/>
  <c r="K33" i="79"/>
  <c r="J33" i="79"/>
  <c r="I33" i="79"/>
  <c r="H33" i="79"/>
  <c r="G33" i="79"/>
  <c r="F33" i="79"/>
  <c r="M33" i="79"/>
  <c r="M35" i="79" s="1"/>
  <c r="I15" i="83"/>
  <c r="H15" i="83"/>
  <c r="G114" i="76"/>
  <c r="G113" i="76"/>
  <c r="G112" i="76"/>
  <c r="H12" i="76"/>
  <c r="M20" i="82"/>
  <c r="M19" i="82"/>
  <c r="N19" i="82" s="1"/>
  <c r="N18" i="82"/>
  <c r="M18" i="82"/>
  <c r="M17" i="82"/>
  <c r="N17" i="82" s="1"/>
  <c r="M16" i="82"/>
  <c r="N16" i="82" s="1"/>
  <c r="M15" i="82"/>
  <c r="N15" i="82" s="1"/>
  <c r="N14" i="82"/>
  <c r="N20" i="82" s="1"/>
  <c r="M14" i="82"/>
  <c r="G134" i="81"/>
  <c r="D134" i="81"/>
  <c r="C134" i="81"/>
  <c r="F132" i="81"/>
  <c r="B132" i="81"/>
  <c r="E132" i="81" s="1"/>
  <c r="F130" i="81"/>
  <c r="B130" i="81"/>
  <c r="E130" i="81" s="1"/>
  <c r="F128" i="81"/>
  <c r="B128" i="81"/>
  <c r="E128" i="81" s="1"/>
  <c r="F126" i="81"/>
  <c r="F134" i="81" s="1"/>
  <c r="E126" i="81"/>
  <c r="B126" i="81"/>
  <c r="F124" i="81"/>
  <c r="I124" i="81" s="1"/>
  <c r="B124" i="81"/>
  <c r="B134" i="81" s="1"/>
  <c r="G121" i="81"/>
  <c r="D121" i="81"/>
  <c r="C121" i="81"/>
  <c r="F119" i="81"/>
  <c r="B119" i="81"/>
  <c r="E119" i="81" s="1"/>
  <c r="F117" i="81"/>
  <c r="B117" i="81"/>
  <c r="E117" i="81" s="1"/>
  <c r="F115" i="81"/>
  <c r="B115" i="81"/>
  <c r="E115" i="81" s="1"/>
  <c r="F113" i="81"/>
  <c r="F121" i="81" s="1"/>
  <c r="E113" i="81"/>
  <c r="B113" i="81"/>
  <c r="F111" i="81"/>
  <c r="I111" i="81" s="1"/>
  <c r="B111" i="81"/>
  <c r="B121" i="81" s="1"/>
  <c r="O17" i="80"/>
  <c r="N17" i="80"/>
  <c r="O10" i="80"/>
  <c r="O11" i="80" s="1"/>
  <c r="O13" i="80" s="1"/>
  <c r="O15" i="80" s="1"/>
  <c r="O16" i="80" s="1"/>
  <c r="O18" i="80" s="1"/>
  <c r="M225" i="79" s="1"/>
  <c r="N10" i="80"/>
  <c r="N11" i="80" s="1"/>
  <c r="N13" i="80" s="1"/>
  <c r="N15" i="80" s="1"/>
  <c r="N16" i="80" s="1"/>
  <c r="N18" i="80" s="1"/>
  <c r="L225" i="79" s="1"/>
  <c r="M245" i="79"/>
  <c r="K22" i="78" s="1"/>
  <c r="L245" i="79"/>
  <c r="J22" i="78" s="1"/>
  <c r="M160" i="79"/>
  <c r="M161" i="79" s="1"/>
  <c r="M163" i="79" s="1"/>
  <c r="M167" i="79" s="1"/>
  <c r="M214" i="79" s="1"/>
  <c r="L160" i="79"/>
  <c r="L161" i="79" s="1"/>
  <c r="L163" i="79" s="1"/>
  <c r="L167" i="79" s="1"/>
  <c r="L214" i="79" s="1"/>
  <c r="M152" i="79"/>
  <c r="L152" i="79"/>
  <c r="M151" i="79"/>
  <c r="L151" i="79"/>
  <c r="M135" i="79"/>
  <c r="L135" i="79"/>
  <c r="M134" i="79"/>
  <c r="M60" i="79"/>
  <c r="M61" i="79" s="1"/>
  <c r="L60" i="79"/>
  <c r="L61" i="79" s="1"/>
  <c r="M43" i="79"/>
  <c r="M44" i="79" s="1"/>
  <c r="L43" i="79"/>
  <c r="L44" i="79" s="1"/>
  <c r="K21" i="78"/>
  <c r="J21" i="78"/>
  <c r="K11" i="78"/>
  <c r="J11" i="78"/>
  <c r="J37" i="77"/>
  <c r="K37" i="77" s="1"/>
  <c r="K11" i="77"/>
  <c r="K10" i="84" s="1"/>
  <c r="I9" i="86" s="1"/>
  <c r="K8" i="77"/>
  <c r="J8" i="77"/>
  <c r="M151" i="87"/>
  <c r="L151" i="87"/>
  <c r="K151" i="87"/>
  <c r="J151" i="87"/>
  <c r="I151" i="87"/>
  <c r="I152" i="87" s="1"/>
  <c r="M150" i="87"/>
  <c r="M263" i="87" s="1"/>
  <c r="L150" i="87"/>
  <c r="L271" i="87" s="1"/>
  <c r="K150" i="87"/>
  <c r="J150" i="87"/>
  <c r="J263" i="87" s="1"/>
  <c r="I150" i="87"/>
  <c r="K146" i="87"/>
  <c r="J146" i="87"/>
  <c r="I146" i="87"/>
  <c r="I134" i="87"/>
  <c r="J124" i="87"/>
  <c r="I124" i="87"/>
  <c r="K120" i="87"/>
  <c r="J120" i="87"/>
  <c r="I120" i="87"/>
  <c r="K102" i="87"/>
  <c r="J102" i="87"/>
  <c r="I102" i="87"/>
  <c r="M97" i="87"/>
  <c r="M96" i="87" s="1"/>
  <c r="L97" i="87"/>
  <c r="K97" i="87"/>
  <c r="J97" i="87"/>
  <c r="I97" i="87"/>
  <c r="I96" i="87" s="1"/>
  <c r="K95" i="87"/>
  <c r="J95" i="87"/>
  <c r="I95" i="87"/>
  <c r="J93" i="87"/>
  <c r="I93" i="87"/>
  <c r="J84" i="87"/>
  <c r="I84" i="87"/>
  <c r="J80" i="87"/>
  <c r="I80" i="87"/>
  <c r="J75" i="87"/>
  <c r="I75" i="87"/>
  <c r="K70" i="87"/>
  <c r="J70" i="87"/>
  <c r="J73" i="87" s="1"/>
  <c r="J322" i="87" s="1"/>
  <c r="I70" i="87"/>
  <c r="I73" i="87" s="1"/>
  <c r="I20" i="87"/>
  <c r="I17" i="87" s="1"/>
  <c r="J26" i="87"/>
  <c r="I26" i="87"/>
  <c r="M57" i="87"/>
  <c r="L57" i="87"/>
  <c r="K57" i="87"/>
  <c r="J57" i="87"/>
  <c r="I57" i="87"/>
  <c r="J55" i="87"/>
  <c r="I55" i="87"/>
  <c r="J29" i="87"/>
  <c r="I31" i="87"/>
  <c r="I27" i="87"/>
  <c r="I25" i="87"/>
  <c r="J24" i="87"/>
  <c r="I24" i="87"/>
  <c r="J343" i="87"/>
  <c r="M339" i="87"/>
  <c r="L339" i="87"/>
  <c r="K339" i="87"/>
  <c r="J339" i="87"/>
  <c r="M298" i="87"/>
  <c r="M327" i="87" s="1"/>
  <c r="L298" i="87"/>
  <c r="L327" i="87" s="1"/>
  <c r="K298" i="87"/>
  <c r="K327" i="87" s="1"/>
  <c r="J298" i="87"/>
  <c r="J327" i="87" s="1"/>
  <c r="M294" i="87"/>
  <c r="L294" i="87"/>
  <c r="K294" i="87"/>
  <c r="J294" i="87"/>
  <c r="M274" i="87"/>
  <c r="L274" i="87"/>
  <c r="K274" i="87"/>
  <c r="J274" i="87"/>
  <c r="M266" i="87"/>
  <c r="L266" i="87"/>
  <c r="K266" i="87"/>
  <c r="J266" i="87"/>
  <c r="J237" i="87"/>
  <c r="J257" i="87" s="1"/>
  <c r="M228" i="87"/>
  <c r="L228" i="87"/>
  <c r="L226" i="87" s="1"/>
  <c r="K228" i="87"/>
  <c r="J228" i="87"/>
  <c r="I228" i="87"/>
  <c r="I226" i="87" s="1"/>
  <c r="M226" i="87"/>
  <c r="K226" i="87"/>
  <c r="J226" i="87"/>
  <c r="M224" i="87"/>
  <c r="L224" i="87"/>
  <c r="K224" i="87"/>
  <c r="J224" i="87"/>
  <c r="I224" i="87"/>
  <c r="M216" i="87"/>
  <c r="L216" i="87"/>
  <c r="K216" i="87"/>
  <c r="J216" i="87"/>
  <c r="I216" i="87"/>
  <c r="M215" i="87"/>
  <c r="L215" i="87"/>
  <c r="K215" i="87"/>
  <c r="J215" i="87"/>
  <c r="I215" i="87"/>
  <c r="I214" i="87"/>
  <c r="I212" i="87" s="1"/>
  <c r="M211" i="87"/>
  <c r="L211" i="87"/>
  <c r="K211" i="87"/>
  <c r="J211" i="87"/>
  <c r="I211" i="87"/>
  <c r="M206" i="87"/>
  <c r="L206" i="87"/>
  <c r="K206" i="87"/>
  <c r="J206" i="87"/>
  <c r="I206" i="87"/>
  <c r="J203" i="87"/>
  <c r="I203" i="87"/>
  <c r="I199" i="87"/>
  <c r="I197" i="87"/>
  <c r="M196" i="87"/>
  <c r="L196" i="87"/>
  <c r="K196" i="87"/>
  <c r="J196" i="87"/>
  <c r="I196" i="87"/>
  <c r="M195" i="87"/>
  <c r="L195" i="87"/>
  <c r="K195" i="87"/>
  <c r="J195" i="87"/>
  <c r="I195" i="87"/>
  <c r="J184" i="87"/>
  <c r="J239" i="87" s="1"/>
  <c r="M182" i="87"/>
  <c r="M237" i="87" s="1"/>
  <c r="M257" i="87" s="1"/>
  <c r="L182" i="87"/>
  <c r="L237" i="87" s="1"/>
  <c r="L257" i="87" s="1"/>
  <c r="K182" i="87"/>
  <c r="K237" i="87" s="1"/>
  <c r="K257" i="87" s="1"/>
  <c r="J182" i="87"/>
  <c r="I182" i="87"/>
  <c r="I237" i="87" s="1"/>
  <c r="O173" i="87"/>
  <c r="O172" i="87"/>
  <c r="L166" i="87"/>
  <c r="I166" i="87"/>
  <c r="M166" i="87"/>
  <c r="K166" i="87"/>
  <c r="J166" i="87"/>
  <c r="M152" i="87"/>
  <c r="K152" i="87"/>
  <c r="K271" i="87"/>
  <c r="L135" i="87"/>
  <c r="L199" i="87" s="1"/>
  <c r="K135" i="87"/>
  <c r="J135" i="87"/>
  <c r="J199" i="87" s="1"/>
  <c r="I135" i="87"/>
  <c r="I130" i="87"/>
  <c r="I129" i="87" s="1"/>
  <c r="I343" i="87"/>
  <c r="M121" i="87"/>
  <c r="L121" i="87"/>
  <c r="K121" i="87"/>
  <c r="J121" i="87"/>
  <c r="I121" i="87"/>
  <c r="K214" i="87"/>
  <c r="K212" i="87" s="1"/>
  <c r="J214" i="87"/>
  <c r="J212" i="87" s="1"/>
  <c r="K117" i="87"/>
  <c r="K184" i="87" s="1"/>
  <c r="K239" i="87" s="1"/>
  <c r="M115" i="87"/>
  <c r="L115" i="87"/>
  <c r="K115" i="87"/>
  <c r="J115" i="87"/>
  <c r="I115" i="87"/>
  <c r="L96" i="87"/>
  <c r="K96" i="87"/>
  <c r="J96" i="87"/>
  <c r="J88" i="87"/>
  <c r="K77" i="87"/>
  <c r="J77" i="87"/>
  <c r="I222" i="87"/>
  <c r="M74" i="87"/>
  <c r="L74" i="87"/>
  <c r="K74" i="87"/>
  <c r="I74" i="87"/>
  <c r="K73" i="87"/>
  <c r="M65" i="87"/>
  <c r="M117" i="87" s="1"/>
  <c r="M184" i="87" s="1"/>
  <c r="M239" i="87" s="1"/>
  <c r="L65" i="87"/>
  <c r="L117" i="87" s="1"/>
  <c r="L184" i="87" s="1"/>
  <c r="L239" i="87" s="1"/>
  <c r="K65" i="87"/>
  <c r="J65" i="87"/>
  <c r="J117" i="87" s="1"/>
  <c r="I65" i="87"/>
  <c r="I117" i="87" s="1"/>
  <c r="I184" i="87" s="1"/>
  <c r="I239" i="87" s="1"/>
  <c r="M64" i="87"/>
  <c r="L64" i="87"/>
  <c r="K64" i="87"/>
  <c r="J64" i="87"/>
  <c r="I64" i="87"/>
  <c r="B63" i="87"/>
  <c r="B114" i="87" s="1"/>
  <c r="B181" i="87" s="1"/>
  <c r="C236" i="87" s="1"/>
  <c r="C299" i="87" s="1"/>
  <c r="C327" i="87" s="1"/>
  <c r="M53" i="87"/>
  <c r="L53" i="87"/>
  <c r="M52" i="87"/>
  <c r="L52" i="87"/>
  <c r="K52" i="87"/>
  <c r="J52" i="87"/>
  <c r="I52" i="87"/>
  <c r="I53" i="87" s="1"/>
  <c r="M48" i="87"/>
  <c r="L48" i="87"/>
  <c r="K48" i="87"/>
  <c r="K53" i="87" s="1"/>
  <c r="J48" i="87"/>
  <c r="J53" i="87" s="1"/>
  <c r="I48" i="87"/>
  <c r="M135" i="87"/>
  <c r="T33" i="87"/>
  <c r="S33" i="87"/>
  <c r="O33" i="87"/>
  <c r="U33" i="87" s="1"/>
  <c r="Q33" i="87"/>
  <c r="P33" i="87"/>
  <c r="I22" i="87"/>
  <c r="H9" i="86" l="1"/>
  <c r="H9" i="83"/>
  <c r="H24" i="83" s="1"/>
  <c r="I9" i="83"/>
  <c r="I24" i="83" s="1"/>
  <c r="I26" i="75"/>
  <c r="H18" i="75"/>
  <c r="H19" i="75" s="1"/>
  <c r="H20" i="75" s="1"/>
  <c r="H22" i="75" s="1"/>
  <c r="I21" i="75"/>
  <c r="I25" i="75" s="1"/>
  <c r="K22" i="84"/>
  <c r="K22" i="50"/>
  <c r="J22" i="50"/>
  <c r="J20" i="84"/>
  <c r="J22" i="84" s="1"/>
  <c r="L40" i="64"/>
  <c r="L133" i="64" s="1"/>
  <c r="L145" i="64" s="1"/>
  <c r="M40" i="64"/>
  <c r="M133" i="64" s="1"/>
  <c r="M145" i="64" s="1"/>
  <c r="M144" i="64"/>
  <c r="K32" i="85"/>
  <c r="K33" i="85" s="1"/>
  <c r="J32" i="3"/>
  <c r="J33" i="3" s="1"/>
  <c r="K32" i="3"/>
  <c r="K33" i="3" s="1"/>
  <c r="J32" i="85"/>
  <c r="J33" i="85" s="1"/>
  <c r="L144" i="64"/>
  <c r="M22" i="65"/>
  <c r="M24" i="65" s="1"/>
  <c r="L236" i="64" s="1"/>
  <c r="N15" i="65"/>
  <c r="N20" i="65" s="1"/>
  <c r="H128" i="70"/>
  <c r="I128" i="70" s="1"/>
  <c r="J128" i="70" s="1"/>
  <c r="H130" i="70"/>
  <c r="I130" i="70"/>
  <c r="J130" i="70" s="1"/>
  <c r="H132" i="70"/>
  <c r="I132" i="70" s="1"/>
  <c r="J132" i="70" s="1"/>
  <c r="H126" i="70"/>
  <c r="E124" i="70"/>
  <c r="H115" i="70"/>
  <c r="I115" i="70" s="1"/>
  <c r="I121" i="70" s="1"/>
  <c r="J115" i="70"/>
  <c r="H117" i="70"/>
  <c r="I117" i="70"/>
  <c r="J117" i="70" s="1"/>
  <c r="H119" i="70"/>
  <c r="I119" i="70"/>
  <c r="J119" i="70" s="1"/>
  <c r="J113" i="70"/>
  <c r="H113" i="70"/>
  <c r="I113" i="70"/>
  <c r="E111" i="70"/>
  <c r="K23" i="77"/>
  <c r="J23" i="77"/>
  <c r="L46" i="79"/>
  <c r="L48" i="79" s="1"/>
  <c r="L50" i="79" s="1"/>
  <c r="L52" i="79" s="1"/>
  <c r="L55" i="79" s="1"/>
  <c r="L80" i="79" s="1"/>
  <c r="L207" i="79" s="1"/>
  <c r="M46" i="79"/>
  <c r="M48" i="79" s="1"/>
  <c r="M50" i="79" s="1"/>
  <c r="M52" i="79" s="1"/>
  <c r="M55" i="79" s="1"/>
  <c r="M80" i="79" s="1"/>
  <c r="M207" i="79" s="1"/>
  <c r="L63" i="79"/>
  <c r="L66" i="79" s="1"/>
  <c r="L206" i="79" s="1"/>
  <c r="M63" i="79"/>
  <c r="M66" i="79" s="1"/>
  <c r="M206" i="79" s="1"/>
  <c r="K32" i="78"/>
  <c r="K33" i="78" s="1"/>
  <c r="N22" i="82"/>
  <c r="N24" i="82"/>
  <c r="M226" i="79" s="1"/>
  <c r="M22" i="82"/>
  <c r="M24" i="82" s="1"/>
  <c r="L226" i="79" s="1"/>
  <c r="H132" i="81"/>
  <c r="H130" i="81"/>
  <c r="I130" i="81" s="1"/>
  <c r="I132" i="81"/>
  <c r="J132" i="81" s="1"/>
  <c r="H128" i="81"/>
  <c r="I128" i="81" s="1"/>
  <c r="J128" i="81" s="1"/>
  <c r="H126" i="81"/>
  <c r="I126" i="81"/>
  <c r="J126" i="81" s="1"/>
  <c r="E124" i="81"/>
  <c r="H117" i="81"/>
  <c r="I117" i="81" s="1"/>
  <c r="J117" i="81" s="1"/>
  <c r="H119" i="81"/>
  <c r="I119" i="81"/>
  <c r="J119" i="81" s="1"/>
  <c r="H115" i="81"/>
  <c r="I115" i="81" s="1"/>
  <c r="J115" i="81" s="1"/>
  <c r="H113" i="81"/>
  <c r="E111" i="81"/>
  <c r="I113" i="81"/>
  <c r="I121" i="81" s="1"/>
  <c r="M273" i="87"/>
  <c r="K273" i="87"/>
  <c r="M271" i="87"/>
  <c r="L152" i="87"/>
  <c r="K130" i="87"/>
  <c r="K190" i="87" s="1"/>
  <c r="J261" i="87"/>
  <c r="I88" i="87"/>
  <c r="I242" i="87" s="1"/>
  <c r="K199" i="87"/>
  <c r="J130" i="87"/>
  <c r="K289" i="87" s="1"/>
  <c r="K291" i="87"/>
  <c r="J291" i="87"/>
  <c r="I28" i="87"/>
  <c r="I30" i="87" s="1"/>
  <c r="I32" i="87" s="1"/>
  <c r="I34" i="87" s="1"/>
  <c r="I36" i="87" s="1"/>
  <c r="K305" i="87"/>
  <c r="K261" i="87"/>
  <c r="K286" i="87"/>
  <c r="K322" i="87"/>
  <c r="J98" i="87"/>
  <c r="R33" i="87"/>
  <c r="J346" i="87"/>
  <c r="J222" i="87"/>
  <c r="M264" i="87"/>
  <c r="J329" i="87"/>
  <c r="J231" i="87"/>
  <c r="J242" i="87"/>
  <c r="M199" i="87"/>
  <c r="M291" i="87"/>
  <c r="M130" i="87"/>
  <c r="J273" i="87"/>
  <c r="J264" i="87"/>
  <c r="J89" i="87"/>
  <c r="J286" i="87"/>
  <c r="I98" i="87"/>
  <c r="J305" i="87"/>
  <c r="K264" i="87"/>
  <c r="J292" i="87"/>
  <c r="I147" i="87"/>
  <c r="I190" i="87"/>
  <c r="I191" i="87" s="1"/>
  <c r="L291" i="87"/>
  <c r="L130" i="87"/>
  <c r="L273" i="87"/>
  <c r="L264" i="87"/>
  <c r="I223" i="87"/>
  <c r="J152" i="87"/>
  <c r="J271" i="87"/>
  <c r="K263" i="87"/>
  <c r="L263" i="87"/>
  <c r="H23" i="75" l="1"/>
  <c r="I23" i="75"/>
  <c r="H21" i="75"/>
  <c r="H25" i="75" s="1"/>
  <c r="H26" i="75" s="1"/>
  <c r="M68" i="64"/>
  <c r="M71" i="64" s="1"/>
  <c r="M216" i="64" s="1"/>
  <c r="M162" i="64"/>
  <c r="L68" i="64"/>
  <c r="L71" i="64" s="1"/>
  <c r="L216" i="64" s="1"/>
  <c r="L162" i="64"/>
  <c r="M51" i="64"/>
  <c r="M53" i="64" s="1"/>
  <c r="M55" i="64" s="1"/>
  <c r="L51" i="64"/>
  <c r="L53" i="64" s="1"/>
  <c r="L55" i="64" s="1"/>
  <c r="N22" i="65"/>
  <c r="N24" i="65" s="1"/>
  <c r="M236" i="64" s="1"/>
  <c r="J124" i="70"/>
  <c r="E134" i="70"/>
  <c r="H134" i="70"/>
  <c r="I126" i="70"/>
  <c r="J111" i="70"/>
  <c r="J121" i="70" s="1"/>
  <c r="E121" i="70"/>
  <c r="H121" i="70"/>
  <c r="M71" i="79"/>
  <c r="M73" i="79" s="1"/>
  <c r="M75" i="79" s="1"/>
  <c r="M78" i="79" s="1"/>
  <c r="M205" i="79" s="1"/>
  <c r="M210" i="79" s="1"/>
  <c r="K6" i="78" s="1"/>
  <c r="K8" i="78" s="1"/>
  <c r="I4" i="83" s="1"/>
  <c r="L71" i="79"/>
  <c r="L73" i="79" s="1"/>
  <c r="L75" i="79" s="1"/>
  <c r="L78" i="79" s="1"/>
  <c r="L205" i="79" s="1"/>
  <c r="L210" i="79" s="1"/>
  <c r="J6" i="78" s="1"/>
  <c r="J8" i="78" s="1"/>
  <c r="H4" i="83" s="1"/>
  <c r="J130" i="81"/>
  <c r="I134" i="81"/>
  <c r="J124" i="81"/>
  <c r="J134" i="81" s="1"/>
  <c r="E134" i="81"/>
  <c r="H134" i="81"/>
  <c r="J111" i="81"/>
  <c r="E121" i="81"/>
  <c r="H121" i="81"/>
  <c r="J113" i="81"/>
  <c r="J190" i="87"/>
  <c r="J289" i="87"/>
  <c r="J99" i="87"/>
  <c r="I231" i="87"/>
  <c r="I89" i="87"/>
  <c r="J282" i="87"/>
  <c r="I200" i="87"/>
  <c r="I198" i="87"/>
  <c r="M289" i="87"/>
  <c r="M190" i="87"/>
  <c r="I173" i="87"/>
  <c r="I248" i="87"/>
  <c r="I169" i="87"/>
  <c r="I241" i="87"/>
  <c r="I243" i="87" s="1"/>
  <c r="I217" i="87"/>
  <c r="I247" i="87"/>
  <c r="I99" i="87"/>
  <c r="L289" i="87"/>
  <c r="L190" i="87"/>
  <c r="J270" i="87"/>
  <c r="J262" i="87"/>
  <c r="L57" i="64" l="1"/>
  <c r="L60" i="64" s="1"/>
  <c r="L85" i="64" s="1"/>
  <c r="L217" i="64" s="1"/>
  <c r="L76" i="64"/>
  <c r="L78" i="64" s="1"/>
  <c r="M57" i="64"/>
  <c r="M60" i="64" s="1"/>
  <c r="M76" i="64"/>
  <c r="M78" i="64" s="1"/>
  <c r="J126" i="70"/>
  <c r="I134" i="70"/>
  <c r="J134" i="70"/>
  <c r="M153" i="79"/>
  <c r="M155" i="79" s="1"/>
  <c r="M216" i="79" s="1"/>
  <c r="M83" i="79"/>
  <c r="M183" i="79"/>
  <c r="M136" i="79"/>
  <c r="M138" i="79" s="1"/>
  <c r="M142" i="79" s="1"/>
  <c r="M215" i="79" s="1"/>
  <c r="L83" i="79"/>
  <c r="L153" i="79"/>
  <c r="L155" i="79" s="1"/>
  <c r="L216" i="79" s="1"/>
  <c r="L183" i="79"/>
  <c r="L136" i="79"/>
  <c r="L138" i="79" s="1"/>
  <c r="L142" i="79" s="1"/>
  <c r="L215" i="79" s="1"/>
  <c r="J27" i="77"/>
  <c r="K27" i="77"/>
  <c r="J121" i="81"/>
  <c r="M80" i="64" l="1"/>
  <c r="M146" i="64"/>
  <c r="M148" i="64" s="1"/>
  <c r="M152" i="64" s="1"/>
  <c r="M225" i="64" s="1"/>
  <c r="M85" i="64"/>
  <c r="M217" i="64" s="1"/>
  <c r="L80" i="64"/>
  <c r="L146" i="64"/>
  <c r="L148" i="64" s="1"/>
  <c r="L152" i="64" s="1"/>
  <c r="L225" i="64" s="1"/>
  <c r="L83" i="64" l="1"/>
  <c r="L193" i="64"/>
  <c r="L163" i="64"/>
  <c r="L165" i="64" s="1"/>
  <c r="L226" i="64" s="1"/>
  <c r="M83" i="64"/>
  <c r="M193" i="64"/>
  <c r="M163" i="64"/>
  <c r="M165" i="64" s="1"/>
  <c r="M226" i="64" s="1"/>
  <c r="M88" i="64" l="1"/>
  <c r="M215" i="64"/>
  <c r="M220" i="64" s="1"/>
  <c r="K6" i="3" s="1"/>
  <c r="L215" i="64"/>
  <c r="L220" i="64" s="1"/>
  <c r="J6" i="3" s="1"/>
  <c r="L88" i="64"/>
  <c r="I9" i="50"/>
  <c r="I9" i="84" s="1"/>
  <c r="H9" i="50"/>
  <c r="H9" i="84" s="1"/>
  <c r="G9" i="50"/>
  <c r="F9" i="50"/>
  <c r="E9" i="50"/>
  <c r="I36" i="84"/>
  <c r="H36" i="84"/>
  <c r="G36" i="84"/>
  <c r="F36" i="84"/>
  <c r="E36" i="84"/>
  <c r="D36" i="84"/>
  <c r="C36" i="84"/>
  <c r="B36" i="84"/>
  <c r="B34" i="84"/>
  <c r="I28" i="84"/>
  <c r="H28" i="84"/>
  <c r="G28" i="84"/>
  <c r="F28" i="84"/>
  <c r="M120" i="87" s="1"/>
  <c r="M214" i="87" s="1"/>
  <c r="M212" i="87" s="1"/>
  <c r="E28" i="84"/>
  <c r="L120" i="87" s="1"/>
  <c r="L214" i="87" s="1"/>
  <c r="L212" i="87" s="1"/>
  <c r="D28" i="84"/>
  <c r="C28" i="84"/>
  <c r="B28" i="84"/>
  <c r="I27" i="84"/>
  <c r="H27" i="84"/>
  <c r="G27" i="84"/>
  <c r="F27" i="84"/>
  <c r="M146" i="87" s="1"/>
  <c r="E27" i="84"/>
  <c r="L146" i="87" s="1"/>
  <c r="D27" i="84"/>
  <c r="C27" i="84"/>
  <c r="B27" i="84"/>
  <c r="C26" i="84"/>
  <c r="B26" i="84"/>
  <c r="B25" i="84"/>
  <c r="I23" i="84"/>
  <c r="H23" i="84"/>
  <c r="G23" i="84"/>
  <c r="F23" i="84"/>
  <c r="E23" i="84"/>
  <c r="D23" i="84"/>
  <c r="C23" i="84"/>
  <c r="B23" i="84"/>
  <c r="I21" i="84"/>
  <c r="H21" i="84"/>
  <c r="G21" i="84"/>
  <c r="F21" i="84"/>
  <c r="E21" i="84"/>
  <c r="D21" i="84"/>
  <c r="C21" i="84"/>
  <c r="B21" i="84"/>
  <c r="B22" i="84" s="1"/>
  <c r="I20" i="84"/>
  <c r="H20" i="84"/>
  <c r="G20" i="84"/>
  <c r="F20" i="84"/>
  <c r="E20" i="84"/>
  <c r="D20" i="84"/>
  <c r="C20" i="84"/>
  <c r="B20" i="84"/>
  <c r="C16" i="84"/>
  <c r="B16" i="84"/>
  <c r="C15" i="84"/>
  <c r="B15" i="84"/>
  <c r="C14" i="84"/>
  <c r="B14" i="84"/>
  <c r="I13" i="84"/>
  <c r="H13" i="84"/>
  <c r="G13" i="84"/>
  <c r="F13" i="84"/>
  <c r="M70" i="87" s="1"/>
  <c r="M73" i="87" s="1"/>
  <c r="E13" i="84"/>
  <c r="L70" i="87" s="1"/>
  <c r="L73" i="87" s="1"/>
  <c r="D13" i="84"/>
  <c r="C13" i="84"/>
  <c r="B13" i="84"/>
  <c r="C10" i="84"/>
  <c r="B10" i="84"/>
  <c r="G9" i="84"/>
  <c r="F9" i="84"/>
  <c r="E9" i="84"/>
  <c r="D9" i="84"/>
  <c r="C9" i="84"/>
  <c r="B9" i="84"/>
  <c r="D8" i="84"/>
  <c r="C8" i="84"/>
  <c r="B8" i="84"/>
  <c r="I6" i="84"/>
  <c r="H6" i="84"/>
  <c r="G6" i="84"/>
  <c r="F6" i="84"/>
  <c r="M102" i="87" s="1"/>
  <c r="E6" i="84"/>
  <c r="L102" i="87" s="1"/>
  <c r="D6" i="84"/>
  <c r="C6" i="84"/>
  <c r="B6" i="84"/>
  <c r="D31" i="85"/>
  <c r="C31" i="85"/>
  <c r="B31" i="85"/>
  <c r="C26" i="85"/>
  <c r="B26" i="85"/>
  <c r="L10" i="85"/>
  <c r="C22" i="84"/>
  <c r="F22" i="84"/>
  <c r="H22" i="84"/>
  <c r="F8" i="69"/>
  <c r="N15" i="50"/>
  <c r="F10" i="69"/>
  <c r="E8" i="77"/>
  <c r="I8" i="77" s="1"/>
  <c r="G245" i="79"/>
  <c r="E22" i="78" s="1"/>
  <c r="H52" i="81"/>
  <c r="H48" i="81"/>
  <c r="H79" i="10"/>
  <c r="J122" i="79"/>
  <c r="J151" i="79" s="1"/>
  <c r="I122" i="79"/>
  <c r="H122" i="79"/>
  <c r="G122" i="79"/>
  <c r="G151" i="79" s="1"/>
  <c r="F119" i="79"/>
  <c r="F122" i="79" s="1"/>
  <c r="K122" i="79"/>
  <c r="K134" i="79" s="1"/>
  <c r="G164" i="76"/>
  <c r="G163" i="76"/>
  <c r="G111" i="76"/>
  <c r="G19" i="65"/>
  <c r="H19" i="65" s="1"/>
  <c r="G18" i="65"/>
  <c r="G17" i="65"/>
  <c r="G16" i="65"/>
  <c r="H16" i="65" s="1"/>
  <c r="G15" i="65"/>
  <c r="H15" i="65" s="1"/>
  <c r="G14" i="65"/>
  <c r="H14" i="65" s="1"/>
  <c r="I15" i="82"/>
  <c r="J15" i="82" s="1"/>
  <c r="K15" i="82" s="1"/>
  <c r="L15" i="82" s="1"/>
  <c r="H19" i="82"/>
  <c r="I19" i="82" s="1"/>
  <c r="J19" i="82" s="1"/>
  <c r="K19" i="82" s="1"/>
  <c r="L19" i="82" s="1"/>
  <c r="H18" i="82"/>
  <c r="I18" i="82" s="1"/>
  <c r="J18" i="82" s="1"/>
  <c r="K18" i="82" s="1"/>
  <c r="L18" i="82" s="1"/>
  <c r="H17" i="82"/>
  <c r="I17" i="82" s="1"/>
  <c r="J17" i="82" s="1"/>
  <c r="K17" i="82" s="1"/>
  <c r="L17" i="82" s="1"/>
  <c r="H16" i="82"/>
  <c r="I16" i="82" s="1"/>
  <c r="J16" i="82" s="1"/>
  <c r="K16" i="82" s="1"/>
  <c r="L16" i="82" s="1"/>
  <c r="H15" i="82"/>
  <c r="H14" i="82"/>
  <c r="I14" i="82" s="1"/>
  <c r="J14" i="82" s="1"/>
  <c r="K14" i="82" s="1"/>
  <c r="L14" i="82" s="1"/>
  <c r="C48" i="81"/>
  <c r="G162" i="76"/>
  <c r="G161" i="76"/>
  <c r="G110" i="76"/>
  <c r="G109" i="76"/>
  <c r="B17" i="83"/>
  <c r="G15" i="83"/>
  <c r="F15" i="83"/>
  <c r="E15" i="83"/>
  <c r="D15" i="83"/>
  <c r="C15" i="83"/>
  <c r="B15" i="83"/>
  <c r="D20" i="82"/>
  <c r="D24" i="82" s="1"/>
  <c r="F19" i="82"/>
  <c r="G19" i="82" s="1"/>
  <c r="F18" i="82"/>
  <c r="G18" i="82" s="1"/>
  <c r="F17" i="82"/>
  <c r="G17" i="82" s="1"/>
  <c r="F16" i="82"/>
  <c r="G16" i="82" s="1"/>
  <c r="F15" i="82"/>
  <c r="G15" i="82" s="1"/>
  <c r="B15" i="82"/>
  <c r="F14" i="82"/>
  <c r="G108" i="81"/>
  <c r="D108" i="81"/>
  <c r="C108" i="81"/>
  <c r="G95" i="81"/>
  <c r="D95" i="81"/>
  <c r="C95" i="81"/>
  <c r="G82" i="81"/>
  <c r="D82" i="81"/>
  <c r="C82" i="81"/>
  <c r="G69" i="81"/>
  <c r="D69" i="81"/>
  <c r="C69" i="81"/>
  <c r="G56" i="81"/>
  <c r="D56" i="81"/>
  <c r="G43" i="81"/>
  <c r="D43" i="81"/>
  <c r="C39" i="81"/>
  <c r="C43" i="81" s="1"/>
  <c r="H30" i="81"/>
  <c r="G30" i="81"/>
  <c r="D30" i="81"/>
  <c r="B28" i="81"/>
  <c r="E28" i="81" s="1"/>
  <c r="F24" i="81"/>
  <c r="I24" i="81" s="1"/>
  <c r="F37" i="81" s="1"/>
  <c r="F22" i="81"/>
  <c r="I22" i="81" s="1"/>
  <c r="F35" i="81" s="1"/>
  <c r="C30" i="81"/>
  <c r="F20" i="81"/>
  <c r="I20" i="81" s="1"/>
  <c r="F33" i="81" s="1"/>
  <c r="G17" i="81"/>
  <c r="F17" i="81"/>
  <c r="D17" i="81"/>
  <c r="B17" i="81"/>
  <c r="E15" i="81"/>
  <c r="H15" i="81" s="1"/>
  <c r="I13" i="81"/>
  <c r="F26" i="81" s="1"/>
  <c r="I26" i="81" s="1"/>
  <c r="F39" i="81" s="1"/>
  <c r="E13" i="81"/>
  <c r="J13" i="81" s="1"/>
  <c r="I11" i="81"/>
  <c r="E11" i="81"/>
  <c r="B24" i="81" s="1"/>
  <c r="E24" i="81" s="1"/>
  <c r="I9" i="81"/>
  <c r="E9" i="81"/>
  <c r="I7" i="81"/>
  <c r="E7" i="81"/>
  <c r="H17" i="80"/>
  <c r="I17" i="80" s="1"/>
  <c r="J17" i="80" s="1"/>
  <c r="H11" i="80"/>
  <c r="H13" i="80" s="1"/>
  <c r="H15" i="80" s="1"/>
  <c r="H16" i="80" s="1"/>
  <c r="H18" i="80" s="1"/>
  <c r="G11" i="80"/>
  <c r="G13" i="80" s="1"/>
  <c r="G15" i="80" s="1"/>
  <c r="G16" i="80" s="1"/>
  <c r="G18" i="80" s="1"/>
  <c r="H10" i="80"/>
  <c r="I10" i="80" s="1"/>
  <c r="K245" i="79"/>
  <c r="I22" i="78" s="1"/>
  <c r="J245" i="79"/>
  <c r="H22" i="78" s="1"/>
  <c r="I245" i="79"/>
  <c r="G22" i="78" s="1"/>
  <c r="H245" i="79"/>
  <c r="F22" i="78" s="1"/>
  <c r="D22" i="78"/>
  <c r="D32" i="78" s="1"/>
  <c r="D229" i="79"/>
  <c r="E229" i="79"/>
  <c r="E210" i="79"/>
  <c r="D210" i="79"/>
  <c r="E161" i="79"/>
  <c r="E163" i="79" s="1"/>
  <c r="E167" i="79" s="1"/>
  <c r="K160" i="79"/>
  <c r="K161" i="79" s="1"/>
  <c r="J160" i="79"/>
  <c r="J161" i="79" s="1"/>
  <c r="I160" i="79"/>
  <c r="I161" i="79" s="1"/>
  <c r="H160" i="79"/>
  <c r="G160" i="79"/>
  <c r="F160" i="79"/>
  <c r="F161" i="79" s="1"/>
  <c r="E119" i="79"/>
  <c r="E122" i="79" s="1"/>
  <c r="A71" i="79"/>
  <c r="K60" i="79"/>
  <c r="K61" i="79" s="1"/>
  <c r="J60" i="79"/>
  <c r="J61" i="79" s="1"/>
  <c r="I60" i="79"/>
  <c r="I61" i="79" s="1"/>
  <c r="H60" i="79"/>
  <c r="H61" i="79" s="1"/>
  <c r="G60" i="79"/>
  <c r="G61" i="79" s="1"/>
  <c r="F60" i="79"/>
  <c r="F61" i="79" s="1"/>
  <c r="E60" i="79"/>
  <c r="E61" i="79" s="1"/>
  <c r="K43" i="79"/>
  <c r="K44" i="79" s="1"/>
  <c r="J43" i="79"/>
  <c r="J44" i="79" s="1"/>
  <c r="I43" i="79"/>
  <c r="I44" i="79" s="1"/>
  <c r="H43" i="79"/>
  <c r="H44" i="79" s="1"/>
  <c r="G43" i="79"/>
  <c r="G44" i="79" s="1"/>
  <c r="F43" i="79"/>
  <c r="F44" i="79" s="1"/>
  <c r="E43" i="79"/>
  <c r="E44" i="79" s="1"/>
  <c r="K35" i="79"/>
  <c r="J120" i="79"/>
  <c r="H120" i="79"/>
  <c r="F35" i="79"/>
  <c r="E33" i="79"/>
  <c r="E35" i="79" s="1"/>
  <c r="E123" i="79" s="1"/>
  <c r="B22" i="78"/>
  <c r="I21" i="78"/>
  <c r="H21" i="78"/>
  <c r="G21" i="78"/>
  <c r="F21" i="78"/>
  <c r="E21" i="78"/>
  <c r="C32" i="78"/>
  <c r="C33" i="78" s="1"/>
  <c r="B20" i="78"/>
  <c r="B15" i="78"/>
  <c r="I11" i="78"/>
  <c r="H11" i="78"/>
  <c r="G11" i="78"/>
  <c r="F11" i="78"/>
  <c r="E11" i="78"/>
  <c r="L10" i="78"/>
  <c r="C8" i="78"/>
  <c r="C13" i="78" s="1"/>
  <c r="C17" i="78" s="1"/>
  <c r="C24" i="78" s="1"/>
  <c r="C28" i="78" s="1"/>
  <c r="C30" i="78" s="1"/>
  <c r="B6" i="78"/>
  <c r="B8" i="78" s="1"/>
  <c r="B13" i="78" s="1"/>
  <c r="G37" i="77"/>
  <c r="H37" i="77" s="1"/>
  <c r="I37" i="77" s="1"/>
  <c r="C37" i="77"/>
  <c r="E26" i="77"/>
  <c r="H41" i="70"/>
  <c r="I41" i="70" s="1"/>
  <c r="J41" i="70" s="1"/>
  <c r="H39" i="70"/>
  <c r="H35" i="70"/>
  <c r="H18" i="65"/>
  <c r="H17" i="65"/>
  <c r="K253" i="64"/>
  <c r="J253" i="64"/>
  <c r="I253" i="64"/>
  <c r="H253" i="64"/>
  <c r="G253" i="64"/>
  <c r="I10" i="50"/>
  <c r="I31" i="3"/>
  <c r="H31" i="3"/>
  <c r="G31" i="3"/>
  <c r="F31" i="3"/>
  <c r="E31" i="3"/>
  <c r="C39" i="70"/>
  <c r="G108" i="76"/>
  <c r="G107" i="76"/>
  <c r="G106" i="76"/>
  <c r="H106" i="70"/>
  <c r="H93" i="70"/>
  <c r="H80" i="70"/>
  <c r="H67" i="70"/>
  <c r="H54" i="70"/>
  <c r="B21" i="3"/>
  <c r="B21" i="85" s="1"/>
  <c r="K255" i="64"/>
  <c r="I22" i="3" s="1"/>
  <c r="J255" i="64"/>
  <c r="H22" i="3" s="1"/>
  <c r="I255" i="64"/>
  <c r="G22" i="3" s="1"/>
  <c r="H255" i="64"/>
  <c r="F22" i="3" s="1"/>
  <c r="G255" i="64"/>
  <c r="E22" i="3" s="1"/>
  <c r="F255" i="64"/>
  <c r="D22" i="3" s="1"/>
  <c r="K170" i="64"/>
  <c r="K171" i="64" s="1"/>
  <c r="K173" i="64" s="1"/>
  <c r="J170" i="64"/>
  <c r="I170" i="64"/>
  <c r="I171" i="64" s="1"/>
  <c r="H170" i="64"/>
  <c r="H171" i="64" s="1"/>
  <c r="G170" i="64"/>
  <c r="F170" i="64"/>
  <c r="F171" i="64" s="1"/>
  <c r="F173" i="64" s="1"/>
  <c r="G146" i="44"/>
  <c r="G145" i="44"/>
  <c r="G144" i="44"/>
  <c r="G156" i="44" s="1"/>
  <c r="D144" i="44"/>
  <c r="F144" i="44" s="1"/>
  <c r="B144" i="44"/>
  <c r="G160" i="76"/>
  <c r="G159" i="76"/>
  <c r="G156" i="76"/>
  <c r="G155" i="76"/>
  <c r="G154" i="76"/>
  <c r="G153" i="76"/>
  <c r="G152" i="76"/>
  <c r="G151" i="76"/>
  <c r="G150" i="76"/>
  <c r="G149" i="76"/>
  <c r="G148" i="76"/>
  <c r="G147" i="76"/>
  <c r="G146" i="76"/>
  <c r="G145" i="76"/>
  <c r="G105" i="76"/>
  <c r="G104" i="76"/>
  <c r="G103" i="76"/>
  <c r="G100" i="76"/>
  <c r="G99" i="76"/>
  <c r="G98" i="76"/>
  <c r="H61" i="76"/>
  <c r="H47" i="76"/>
  <c r="H34" i="76"/>
  <c r="H13" i="76"/>
  <c r="G131" i="76"/>
  <c r="K150" i="76"/>
  <c r="K149" i="76"/>
  <c r="K146" i="76"/>
  <c r="K148" i="76" s="1"/>
  <c r="G97" i="76"/>
  <c r="G96" i="76"/>
  <c r="G95" i="76"/>
  <c r="G94" i="76"/>
  <c r="G93" i="76"/>
  <c r="G92" i="76"/>
  <c r="G91" i="76"/>
  <c r="G90" i="76"/>
  <c r="G89" i="76"/>
  <c r="G59" i="76"/>
  <c r="G41" i="76"/>
  <c r="G40" i="76"/>
  <c r="G39" i="76"/>
  <c r="G38" i="76"/>
  <c r="G37" i="76"/>
  <c r="G36" i="76"/>
  <c r="G35" i="76"/>
  <c r="G34" i="76"/>
  <c r="G33" i="76"/>
  <c r="G30" i="76"/>
  <c r="G29" i="76"/>
  <c r="G28" i="76"/>
  <c r="G27" i="76"/>
  <c r="G26" i="76"/>
  <c r="G25" i="76"/>
  <c r="G24" i="76"/>
  <c r="G23" i="76"/>
  <c r="H19" i="76"/>
  <c r="B20" i="76" s="1"/>
  <c r="D19" i="76"/>
  <c r="L14" i="76"/>
  <c r="J14" i="76"/>
  <c r="L11" i="76"/>
  <c r="H11" i="76"/>
  <c r="L10" i="76"/>
  <c r="G96" i="44"/>
  <c r="G95" i="44"/>
  <c r="G94" i="44"/>
  <c r="H64" i="10"/>
  <c r="H65" i="10"/>
  <c r="H67" i="10"/>
  <c r="H39" i="10"/>
  <c r="H38" i="10"/>
  <c r="C10" i="50"/>
  <c r="B15" i="3"/>
  <c r="C22" i="70"/>
  <c r="H22" i="70"/>
  <c r="C9" i="70"/>
  <c r="E225" i="64"/>
  <c r="J20" i="87" s="1"/>
  <c r="L10" i="3"/>
  <c r="I11" i="3"/>
  <c r="H11" i="3"/>
  <c r="G11" i="3"/>
  <c r="F11" i="3"/>
  <c r="E11" i="3"/>
  <c r="D11" i="3"/>
  <c r="D11" i="85" s="1"/>
  <c r="K39" i="87" s="1"/>
  <c r="C11" i="3"/>
  <c r="C11" i="85" s="1"/>
  <c r="J39" i="87" s="1"/>
  <c r="B10" i="3"/>
  <c r="B10" i="85" s="1"/>
  <c r="C26" i="3"/>
  <c r="I21" i="3"/>
  <c r="H21" i="3"/>
  <c r="G21" i="3"/>
  <c r="F21" i="3"/>
  <c r="E21" i="3"/>
  <c r="D21" i="3"/>
  <c r="D21" i="85" s="1"/>
  <c r="C21" i="3"/>
  <c r="C21" i="85" s="1"/>
  <c r="B22" i="3"/>
  <c r="C22" i="3"/>
  <c r="C22" i="85" s="1"/>
  <c r="D239" i="64"/>
  <c r="D220" i="64"/>
  <c r="E235" i="64"/>
  <c r="J25" i="87" s="1"/>
  <c r="E220" i="64"/>
  <c r="B20" i="3"/>
  <c r="B11" i="3"/>
  <c r="B11" i="85" s="1"/>
  <c r="I39" i="87" s="1"/>
  <c r="I40" i="87" s="1"/>
  <c r="B6" i="3"/>
  <c r="B8" i="3" s="1"/>
  <c r="E171" i="64"/>
  <c r="M322" i="87" l="1"/>
  <c r="M286" i="87"/>
  <c r="L322" i="87"/>
  <c r="L286" i="87"/>
  <c r="M305" i="87"/>
  <c r="M261" i="87"/>
  <c r="L305" i="87"/>
  <c r="L261" i="87"/>
  <c r="H11" i="85"/>
  <c r="H21" i="85"/>
  <c r="J6" i="85"/>
  <c r="J8" i="85" s="1"/>
  <c r="H4" i="86" s="1"/>
  <c r="J8" i="3"/>
  <c r="J26" i="50" s="1"/>
  <c r="J26" i="84" s="1"/>
  <c r="I11" i="85"/>
  <c r="I21" i="85"/>
  <c r="K8" i="3"/>
  <c r="K26" i="50" s="1"/>
  <c r="K26" i="84" s="1"/>
  <c r="K6" i="85"/>
  <c r="K8" i="85" s="1"/>
  <c r="I4" i="86" s="1"/>
  <c r="F22" i="85"/>
  <c r="E11" i="85"/>
  <c r="L39" i="87" s="1"/>
  <c r="E21" i="85"/>
  <c r="G22" i="85"/>
  <c r="F11" i="85"/>
  <c r="M39" i="87" s="1"/>
  <c r="F21" i="85"/>
  <c r="H22" i="85"/>
  <c r="J17" i="87"/>
  <c r="J223" i="87"/>
  <c r="J191" i="87"/>
  <c r="G11" i="85"/>
  <c r="G21" i="85"/>
  <c r="I22" i="85"/>
  <c r="E22" i="85"/>
  <c r="B20" i="85"/>
  <c r="D22" i="85"/>
  <c r="B15" i="85"/>
  <c r="B22" i="85"/>
  <c r="I11" i="80"/>
  <c r="I13" i="80" s="1"/>
  <c r="I15" i="80" s="1"/>
  <c r="I16" i="80" s="1"/>
  <c r="I18" i="80" s="1"/>
  <c r="G225" i="79" s="1"/>
  <c r="J10" i="80"/>
  <c r="K10" i="80" s="1"/>
  <c r="B6" i="85"/>
  <c r="B8" i="85" s="1"/>
  <c r="B30" i="84"/>
  <c r="G22" i="84"/>
  <c r="D22" i="84"/>
  <c r="E22" i="84"/>
  <c r="I22" i="84"/>
  <c r="F8" i="77"/>
  <c r="G8" i="77"/>
  <c r="H8" i="77"/>
  <c r="H9" i="69"/>
  <c r="I9" i="69" s="1"/>
  <c r="J9" i="69" s="1"/>
  <c r="J163" i="79"/>
  <c r="J167" i="79" s="1"/>
  <c r="J214" i="79" s="1"/>
  <c r="K46" i="79"/>
  <c r="K48" i="79" s="1"/>
  <c r="K50" i="79" s="1"/>
  <c r="K71" i="79" s="1"/>
  <c r="K73" i="79" s="1"/>
  <c r="J35" i="79"/>
  <c r="J63" i="79" s="1"/>
  <c r="J66" i="79" s="1"/>
  <c r="J206" i="79" s="1"/>
  <c r="H35" i="79"/>
  <c r="H63" i="79" s="1"/>
  <c r="H66" i="79" s="1"/>
  <c r="H206" i="79" s="1"/>
  <c r="F151" i="79"/>
  <c r="F134" i="79"/>
  <c r="E120" i="79"/>
  <c r="K163" i="79"/>
  <c r="K167" i="79" s="1"/>
  <c r="K214" i="79" s="1"/>
  <c r="E46" i="79"/>
  <c r="E48" i="79" s="1"/>
  <c r="E50" i="79" s="1"/>
  <c r="E52" i="79" s="1"/>
  <c r="E55" i="79" s="1"/>
  <c r="K120" i="79"/>
  <c r="I163" i="79"/>
  <c r="I167" i="79" s="1"/>
  <c r="I214" i="79" s="1"/>
  <c r="B17" i="78"/>
  <c r="B24" i="78" s="1"/>
  <c r="B28" i="78" s="1"/>
  <c r="B30" i="78" s="1"/>
  <c r="G161" i="79"/>
  <c r="G163" i="79" s="1"/>
  <c r="G167" i="79" s="1"/>
  <c r="G214" i="79" s="1"/>
  <c r="B32" i="78"/>
  <c r="B33" i="78" s="1"/>
  <c r="D232" i="79"/>
  <c r="D236" i="79" s="1"/>
  <c r="D240" i="79" s="1"/>
  <c r="D247" i="79" s="1"/>
  <c r="E232" i="79"/>
  <c r="E231" i="79" s="1"/>
  <c r="E135" i="79"/>
  <c r="E152" i="79"/>
  <c r="F26" i="77"/>
  <c r="B38" i="77"/>
  <c r="K63" i="79"/>
  <c r="K66" i="79" s="1"/>
  <c r="K206" i="79" s="1"/>
  <c r="K123" i="79"/>
  <c r="C34" i="78"/>
  <c r="H151" i="79"/>
  <c r="H134" i="79"/>
  <c r="K151" i="79"/>
  <c r="I151" i="79"/>
  <c r="I134" i="79"/>
  <c r="I33" i="81"/>
  <c r="F63" i="79"/>
  <c r="F66" i="79" s="1"/>
  <c r="F206" i="79" s="1"/>
  <c r="F123" i="79"/>
  <c r="F46" i="79"/>
  <c r="F48" i="79" s="1"/>
  <c r="F50" i="79" s="1"/>
  <c r="D33" i="78"/>
  <c r="G35" i="79"/>
  <c r="G120" i="79"/>
  <c r="I35" i="79"/>
  <c r="I120" i="79"/>
  <c r="E134" i="79"/>
  <c r="E151" i="79"/>
  <c r="H161" i="79"/>
  <c r="H163" i="79" s="1"/>
  <c r="H167" i="79" s="1"/>
  <c r="H214" i="79" s="1"/>
  <c r="B37" i="81"/>
  <c r="E37" i="81" s="1"/>
  <c r="J24" i="81"/>
  <c r="E63" i="79"/>
  <c r="E66" i="79" s="1"/>
  <c r="G134" i="79"/>
  <c r="L10" i="80"/>
  <c r="L11" i="80" s="1"/>
  <c r="L13" i="80" s="1"/>
  <c r="L15" i="80" s="1"/>
  <c r="L16" i="80" s="1"/>
  <c r="L18" i="80" s="1"/>
  <c r="J225" i="79" s="1"/>
  <c r="F120" i="79"/>
  <c r="E17" i="81"/>
  <c r="J134" i="79"/>
  <c r="F163" i="79"/>
  <c r="F167" i="79" s="1"/>
  <c r="H17" i="81"/>
  <c r="I15" i="81"/>
  <c r="I17" i="81" s="1"/>
  <c r="B22" i="77" s="1"/>
  <c r="B20" i="81"/>
  <c r="B26" i="81"/>
  <c r="E26" i="81" s="1"/>
  <c r="J11" i="80"/>
  <c r="J13" i="80" s="1"/>
  <c r="J15" i="80" s="1"/>
  <c r="J16" i="80" s="1"/>
  <c r="J18" i="80" s="1"/>
  <c r="H225" i="79" s="1"/>
  <c r="J7" i="81"/>
  <c r="B41" i="81"/>
  <c r="E41" i="81" s="1"/>
  <c r="B22" i="81"/>
  <c r="E22" i="81" s="1"/>
  <c r="J9" i="81"/>
  <c r="F20" i="82"/>
  <c r="G14" i="82"/>
  <c r="L17" i="80"/>
  <c r="K17" i="80"/>
  <c r="M17" i="80" s="1"/>
  <c r="C17" i="81"/>
  <c r="J11" i="81"/>
  <c r="I173" i="64"/>
  <c r="J171" i="64"/>
  <c r="J173" i="64" s="1"/>
  <c r="H173" i="64"/>
  <c r="G171" i="64"/>
  <c r="G173" i="64" s="1"/>
  <c r="H14" i="76"/>
  <c r="G157" i="76"/>
  <c r="D242" i="64"/>
  <c r="D241" i="64" s="1"/>
  <c r="E144" i="44"/>
  <c r="H144" i="44"/>
  <c r="B145" i="44" s="1"/>
  <c r="G171" i="76"/>
  <c r="H20" i="76"/>
  <c r="B21" i="76" s="1"/>
  <c r="D20" i="76"/>
  <c r="F20" i="76" s="1"/>
  <c r="E20" i="76" s="1"/>
  <c r="G31" i="76"/>
  <c r="G45" i="76"/>
  <c r="K154" i="76"/>
  <c r="K156" i="76" s="1"/>
  <c r="L16" i="76"/>
  <c r="L18" i="76" s="1"/>
  <c r="G119" i="76"/>
  <c r="G135" i="76"/>
  <c r="G120" i="76"/>
  <c r="G136" i="76"/>
  <c r="G123" i="76"/>
  <c r="G139" i="76"/>
  <c r="G140" i="76"/>
  <c r="G127" i="76"/>
  <c r="G141" i="76"/>
  <c r="G128" i="76"/>
  <c r="G132" i="76"/>
  <c r="G124" i="76"/>
  <c r="G73" i="76"/>
  <c r="G87" i="76"/>
  <c r="E31" i="78" s="1"/>
  <c r="G118" i="76"/>
  <c r="G122" i="76"/>
  <c r="G126" i="76"/>
  <c r="G134" i="76"/>
  <c r="G138" i="76"/>
  <c r="G142" i="76"/>
  <c r="F19" i="76"/>
  <c r="G117" i="76"/>
  <c r="G121" i="76"/>
  <c r="G125" i="76"/>
  <c r="G133" i="76"/>
  <c r="G137" i="76"/>
  <c r="B32" i="3"/>
  <c r="B33" i="3" s="1"/>
  <c r="B13" i="3"/>
  <c r="B17" i="3" s="1"/>
  <c r="B24" i="3" s="1"/>
  <c r="B28" i="3" s="1"/>
  <c r="F16" i="65"/>
  <c r="I42" i="87" l="1"/>
  <c r="J345" i="87"/>
  <c r="B32" i="85"/>
  <c r="B33" i="85" s="1"/>
  <c r="K52" i="79"/>
  <c r="K55" i="79" s="1"/>
  <c r="K80" i="79" s="1"/>
  <c r="K207" i="79" s="1"/>
  <c r="M171" i="79"/>
  <c r="L171" i="79"/>
  <c r="K171" i="79"/>
  <c r="K173" i="79" s="1"/>
  <c r="K175" i="79" s="1"/>
  <c r="K217" i="79" s="1"/>
  <c r="D16" i="77"/>
  <c r="E31" i="85"/>
  <c r="B13" i="85"/>
  <c r="B17" i="85" s="1"/>
  <c r="B24" i="85" s="1"/>
  <c r="B28" i="85" s="1"/>
  <c r="B30" i="85" s="1"/>
  <c r="I7" i="87"/>
  <c r="I10" i="87" s="1"/>
  <c r="I15" i="84"/>
  <c r="B34" i="78"/>
  <c r="J46" i="79"/>
  <c r="J48" i="79" s="1"/>
  <c r="J50" i="79" s="1"/>
  <c r="J171" i="79" s="1"/>
  <c r="J123" i="79"/>
  <c r="J152" i="79" s="1"/>
  <c r="H46" i="79"/>
  <c r="H48" i="79" s="1"/>
  <c r="H50" i="79" s="1"/>
  <c r="H171" i="79" s="1"/>
  <c r="H123" i="79"/>
  <c r="H152" i="79" s="1"/>
  <c r="E171" i="79"/>
  <c r="E179" i="79" s="1"/>
  <c r="E236" i="79"/>
  <c r="E240" i="79" s="1"/>
  <c r="E247" i="79" s="1"/>
  <c r="D231" i="79"/>
  <c r="E71" i="79"/>
  <c r="E73" i="79" s="1"/>
  <c r="E136" i="79" s="1"/>
  <c r="E138" i="79" s="1"/>
  <c r="E142" i="79" s="1"/>
  <c r="F52" i="79"/>
  <c r="F55" i="79" s="1"/>
  <c r="F171" i="79"/>
  <c r="F71" i="79"/>
  <c r="F73" i="79" s="1"/>
  <c r="J22" i="81"/>
  <c r="B35" i="81"/>
  <c r="E35" i="81" s="1"/>
  <c r="H37" i="81"/>
  <c r="I37" i="81" s="1"/>
  <c r="F50" i="81" s="1"/>
  <c r="B50" i="81"/>
  <c r="E50" i="81" s="1"/>
  <c r="F135" i="79"/>
  <c r="F152" i="79"/>
  <c r="E80" i="79"/>
  <c r="M10" i="80"/>
  <c r="M11" i="80" s="1"/>
  <c r="M13" i="80" s="1"/>
  <c r="M15" i="80" s="1"/>
  <c r="M16" i="80" s="1"/>
  <c r="M18" i="80" s="1"/>
  <c r="K225" i="79" s="1"/>
  <c r="K11" i="80"/>
  <c r="K13" i="80" s="1"/>
  <c r="K15" i="80" s="1"/>
  <c r="K16" i="80" s="1"/>
  <c r="K18" i="80" s="1"/>
  <c r="I225" i="79" s="1"/>
  <c r="I63" i="79"/>
  <c r="I66" i="79" s="1"/>
  <c r="I206" i="79" s="1"/>
  <c r="I123" i="79"/>
  <c r="I46" i="79"/>
  <c r="I48" i="79" s="1"/>
  <c r="I50" i="79" s="1"/>
  <c r="B23" i="77"/>
  <c r="B31" i="77" s="1"/>
  <c r="B39" i="81"/>
  <c r="E39" i="81" s="1"/>
  <c r="J26" i="81"/>
  <c r="F46" i="81"/>
  <c r="B19" i="77"/>
  <c r="C35" i="77"/>
  <c r="C38" i="77" s="1"/>
  <c r="G20" i="82"/>
  <c r="G63" i="79"/>
  <c r="G66" i="79" s="1"/>
  <c r="G206" i="79" s="1"/>
  <c r="G123" i="79"/>
  <c r="G46" i="79"/>
  <c r="G48" i="79" s="1"/>
  <c r="G50" i="79" s="1"/>
  <c r="G26" i="77"/>
  <c r="B30" i="81"/>
  <c r="E20" i="81"/>
  <c r="F22" i="82"/>
  <c r="F24" i="82" s="1"/>
  <c r="F28" i="81"/>
  <c r="J15" i="81"/>
  <c r="J17" i="81" s="1"/>
  <c r="B54" i="81"/>
  <c r="E54" i="81" s="1"/>
  <c r="H41" i="81"/>
  <c r="K75" i="79"/>
  <c r="K136" i="79"/>
  <c r="K152" i="79"/>
  <c r="K135" i="79"/>
  <c r="D246" i="64"/>
  <c r="D250" i="64" s="1"/>
  <c r="D257" i="64" s="1"/>
  <c r="H145" i="44"/>
  <c r="B146" i="44" s="1"/>
  <c r="D145" i="44"/>
  <c r="D21" i="76"/>
  <c r="F21" i="76" s="1"/>
  <c r="E21" i="76" s="1"/>
  <c r="H21" i="76"/>
  <c r="B22" i="76" s="1"/>
  <c r="G101" i="76"/>
  <c r="F31" i="78" s="1"/>
  <c r="F31" i="85" s="1"/>
  <c r="G115" i="76"/>
  <c r="G31" i="78" s="1"/>
  <c r="G31" i="85" s="1"/>
  <c r="G143" i="76"/>
  <c r="G129" i="76"/>
  <c r="H31" i="78" s="1"/>
  <c r="E19" i="76"/>
  <c r="B30" i="3"/>
  <c r="B34" i="3" s="1"/>
  <c r="B35" i="50"/>
  <c r="A76" i="64"/>
  <c r="G93" i="44"/>
  <c r="G12" i="44"/>
  <c r="G141" i="44" s="1"/>
  <c r="L13" i="44"/>
  <c r="L11" i="44"/>
  <c r="L15" i="44" s="1"/>
  <c r="L17" i="44" s="1"/>
  <c r="L10" i="44"/>
  <c r="K8" i="10"/>
  <c r="A29" i="10"/>
  <c r="A30" i="10" s="1"/>
  <c r="A31" i="10" s="1"/>
  <c r="A32" i="10" s="1"/>
  <c r="A33" i="10" s="1"/>
  <c r="A34" i="10" s="1"/>
  <c r="A35" i="10" s="1"/>
  <c r="A36" i="10" s="1"/>
  <c r="A37" i="10" s="1"/>
  <c r="A38" i="10" s="1"/>
  <c r="A39" i="10" s="1"/>
  <c r="A40" i="10" s="1"/>
  <c r="A41" i="10" s="1"/>
  <c r="G53" i="10"/>
  <c r="G52" i="10"/>
  <c r="G61" i="10"/>
  <c r="G60" i="10"/>
  <c r="G56" i="10"/>
  <c r="H56" i="10" s="1"/>
  <c r="H57" i="10" s="1"/>
  <c r="B34" i="85" l="1"/>
  <c r="K179" i="79"/>
  <c r="K191" i="79" s="1"/>
  <c r="H71" i="79"/>
  <c r="H73" i="79" s="1"/>
  <c r="H136" i="79" s="1"/>
  <c r="J135" i="79"/>
  <c r="H135" i="79"/>
  <c r="E75" i="79"/>
  <c r="E183" i="79" s="1"/>
  <c r="E187" i="79" s="1"/>
  <c r="L173" i="79"/>
  <c r="L175" i="79" s="1"/>
  <c r="L217" i="79" s="1"/>
  <c r="L179" i="79"/>
  <c r="H52" i="79"/>
  <c r="H55" i="79" s="1"/>
  <c r="H80" i="79" s="1"/>
  <c r="H207" i="79" s="1"/>
  <c r="M173" i="79"/>
  <c r="M175" i="79" s="1"/>
  <c r="M217" i="79" s="1"/>
  <c r="M179" i="79"/>
  <c r="G16" i="77"/>
  <c r="G15" i="84" s="1"/>
  <c r="H31" i="85"/>
  <c r="I31" i="78"/>
  <c r="D11" i="77"/>
  <c r="D15" i="84"/>
  <c r="B38" i="50"/>
  <c r="B35" i="84"/>
  <c r="B37" i="84" s="1"/>
  <c r="B7" i="84" s="1"/>
  <c r="I342" i="87"/>
  <c r="I13" i="87"/>
  <c r="I251" i="87"/>
  <c r="E16" i="77"/>
  <c r="E15" i="84" s="1"/>
  <c r="L80" i="87" s="1"/>
  <c r="E173" i="79"/>
  <c r="E175" i="79" s="1"/>
  <c r="J52" i="79"/>
  <c r="J55" i="79" s="1"/>
  <c r="J80" i="79" s="1"/>
  <c r="J207" i="79" s="1"/>
  <c r="J71" i="79"/>
  <c r="J73" i="79" s="1"/>
  <c r="J136" i="79" s="1"/>
  <c r="K138" i="79"/>
  <c r="K142" i="79" s="1"/>
  <c r="K215" i="79" s="1"/>
  <c r="F16" i="77"/>
  <c r="F15" i="84" s="1"/>
  <c r="M80" i="87" s="1"/>
  <c r="G22" i="82"/>
  <c r="G24" i="82" s="1"/>
  <c r="B32" i="77"/>
  <c r="B48" i="81"/>
  <c r="E48" i="81" s="1"/>
  <c r="H20" i="82"/>
  <c r="J173" i="79"/>
  <c r="J175" i="79" s="1"/>
  <c r="J217" i="79" s="1"/>
  <c r="J179" i="79"/>
  <c r="H54" i="81"/>
  <c r="B67" i="81"/>
  <c r="E67" i="81" s="1"/>
  <c r="H26" i="77"/>
  <c r="H75" i="79"/>
  <c r="F75" i="79"/>
  <c r="F136" i="79"/>
  <c r="F138" i="79" s="1"/>
  <c r="F142" i="79" s="1"/>
  <c r="I28" i="81"/>
  <c r="F30" i="81"/>
  <c r="I46" i="81"/>
  <c r="H173" i="79"/>
  <c r="H175" i="79" s="1"/>
  <c r="H217" i="79" s="1"/>
  <c r="H179" i="79"/>
  <c r="I171" i="79"/>
  <c r="I71" i="79"/>
  <c r="I73" i="79" s="1"/>
  <c r="I52" i="79"/>
  <c r="I55" i="79" s="1"/>
  <c r="F179" i="79"/>
  <c r="F173" i="79"/>
  <c r="F175" i="79" s="1"/>
  <c r="K153" i="79"/>
  <c r="K155" i="79" s="1"/>
  <c r="K216" i="79" s="1"/>
  <c r="K183" i="79"/>
  <c r="K78" i="79"/>
  <c r="K205" i="79" s="1"/>
  <c r="K210" i="79" s="1"/>
  <c r="G52" i="79"/>
  <c r="G55" i="79" s="1"/>
  <c r="G171" i="79"/>
  <c r="G71" i="79"/>
  <c r="G73" i="79" s="1"/>
  <c r="I152" i="79"/>
  <c r="I135" i="79"/>
  <c r="B63" i="81"/>
  <c r="E63" i="81" s="1"/>
  <c r="H50" i="81"/>
  <c r="I50" i="81" s="1"/>
  <c r="F80" i="79"/>
  <c r="F207" i="79" s="1"/>
  <c r="B52" i="81"/>
  <c r="I39" i="81"/>
  <c r="F52" i="81" s="1"/>
  <c r="G152" i="79"/>
  <c r="G135" i="79"/>
  <c r="E191" i="79"/>
  <c r="B33" i="81"/>
  <c r="J20" i="81"/>
  <c r="E30" i="81"/>
  <c r="D35" i="77"/>
  <c r="C19" i="77"/>
  <c r="J37" i="81"/>
  <c r="I16" i="65"/>
  <c r="J16" i="65" s="1"/>
  <c r="K16" i="65" s="1"/>
  <c r="L16" i="65" s="1"/>
  <c r="F145" i="44"/>
  <c r="H146" i="44"/>
  <c r="B147" i="44" s="1"/>
  <c r="D146" i="44"/>
  <c r="F146" i="44" s="1"/>
  <c r="E146" i="44" s="1"/>
  <c r="H22" i="76"/>
  <c r="B23" i="76" s="1"/>
  <c r="D22" i="76"/>
  <c r="F22" i="76" s="1"/>
  <c r="E22" i="76" s="1"/>
  <c r="K149" i="44"/>
  <c r="K148" i="44"/>
  <c r="K145" i="44"/>
  <c r="K147" i="44" s="1"/>
  <c r="K153" i="44" s="1"/>
  <c r="K155" i="44" s="1"/>
  <c r="J13" i="44"/>
  <c r="K65" i="64"/>
  <c r="J65" i="64"/>
  <c r="I65" i="64"/>
  <c r="H65" i="64"/>
  <c r="G65" i="64"/>
  <c r="F65" i="64"/>
  <c r="E65" i="64"/>
  <c r="K48" i="64"/>
  <c r="J48" i="64"/>
  <c r="I48" i="64"/>
  <c r="H48" i="64"/>
  <c r="G48" i="64"/>
  <c r="F48" i="64"/>
  <c r="E48" i="64"/>
  <c r="G140" i="44"/>
  <c r="K132" i="64"/>
  <c r="J132" i="64"/>
  <c r="I132" i="64"/>
  <c r="H132" i="64"/>
  <c r="G132" i="64"/>
  <c r="F132" i="64"/>
  <c r="E132" i="64"/>
  <c r="G92" i="44"/>
  <c r="G91" i="44"/>
  <c r="H11" i="44"/>
  <c r="E38" i="64"/>
  <c r="H41" i="10"/>
  <c r="H37" i="10"/>
  <c r="J26" i="10"/>
  <c r="B18" i="84" l="1"/>
  <c r="B31" i="84" s="1"/>
  <c r="I103" i="87"/>
  <c r="I109" i="87" s="1"/>
  <c r="K187" i="79"/>
  <c r="K218" i="79" s="1"/>
  <c r="I15" i="77" s="1"/>
  <c r="E153" i="79"/>
  <c r="E155" i="79" s="1"/>
  <c r="E78" i="79"/>
  <c r="E83" i="79" s="1"/>
  <c r="H138" i="79"/>
  <c r="H142" i="79" s="1"/>
  <c r="H215" i="79" s="1"/>
  <c r="J138" i="79"/>
  <c r="J142" i="79" s="1"/>
  <c r="J215" i="79" s="1"/>
  <c r="L187" i="79"/>
  <c r="L218" i="79" s="1"/>
  <c r="J15" i="77" s="1"/>
  <c r="L191" i="79"/>
  <c r="M187" i="79"/>
  <c r="M218" i="79" s="1"/>
  <c r="K15" i="77" s="1"/>
  <c r="M191" i="79"/>
  <c r="J20" i="78"/>
  <c r="H16" i="77"/>
  <c r="H15" i="84" s="1"/>
  <c r="I31" i="85"/>
  <c r="K80" i="87"/>
  <c r="B9" i="83"/>
  <c r="B24" i="83" s="1"/>
  <c r="D10" i="84"/>
  <c r="I250" i="87"/>
  <c r="I341" i="87"/>
  <c r="I41" i="87"/>
  <c r="I43" i="87" s="1"/>
  <c r="I54" i="87" s="1"/>
  <c r="I37" i="87"/>
  <c r="I38" i="87" s="1"/>
  <c r="I204" i="87"/>
  <c r="J75" i="79"/>
  <c r="J153" i="79" s="1"/>
  <c r="J155" i="79" s="1"/>
  <c r="J216" i="79" s="1"/>
  <c r="K83" i="79"/>
  <c r="F63" i="81"/>
  <c r="J50" i="81"/>
  <c r="I6" i="78"/>
  <c r="I75" i="79"/>
  <c r="I136" i="79"/>
  <c r="I138" i="79" s="1"/>
  <c r="I142" i="79" s="1"/>
  <c r="I215" i="79" s="1"/>
  <c r="I26" i="77"/>
  <c r="J191" i="79"/>
  <c r="I80" i="79"/>
  <c r="I207" i="79" s="1"/>
  <c r="B76" i="81"/>
  <c r="E76" i="81" s="1"/>
  <c r="H63" i="81"/>
  <c r="I173" i="79"/>
  <c r="I175" i="79" s="1"/>
  <c r="I217" i="79" s="1"/>
  <c r="I179" i="79"/>
  <c r="B61" i="81"/>
  <c r="E61" i="81" s="1"/>
  <c r="K193" i="79"/>
  <c r="K223" i="79" s="1"/>
  <c r="K197" i="79"/>
  <c r="K199" i="79" s="1"/>
  <c r="K224" i="79" s="1"/>
  <c r="J39" i="81"/>
  <c r="H191" i="79"/>
  <c r="F183" i="79"/>
  <c r="F187" i="79" s="1"/>
  <c r="F78" i="79"/>
  <c r="F153" i="79"/>
  <c r="F155" i="79" s="1"/>
  <c r="H43" i="81"/>
  <c r="D15" i="78" s="1"/>
  <c r="I35" i="81"/>
  <c r="G80" i="79"/>
  <c r="G207" i="79" s="1"/>
  <c r="E193" i="79"/>
  <c r="E197" i="79"/>
  <c r="E199" i="79" s="1"/>
  <c r="F59" i="81"/>
  <c r="H153" i="79"/>
  <c r="H155" i="79" s="1"/>
  <c r="H216" i="79" s="1"/>
  <c r="H183" i="79"/>
  <c r="H187" i="79" s="1"/>
  <c r="H218" i="79" s="1"/>
  <c r="H78" i="79"/>
  <c r="F191" i="79"/>
  <c r="H67" i="81"/>
  <c r="B80" i="81"/>
  <c r="E80" i="81" s="1"/>
  <c r="H22" i="82"/>
  <c r="H24" i="82" s="1"/>
  <c r="G226" i="79" s="1"/>
  <c r="F41" i="81"/>
  <c r="I30" i="81"/>
  <c r="J28" i="81"/>
  <c r="C23" i="77"/>
  <c r="C31" i="77" s="1"/>
  <c r="C32" i="77" s="1"/>
  <c r="J30" i="81"/>
  <c r="E33" i="81"/>
  <c r="B43" i="81"/>
  <c r="G136" i="79"/>
  <c r="G138" i="79" s="1"/>
  <c r="G142" i="79" s="1"/>
  <c r="G215" i="79" s="1"/>
  <c r="G75" i="79"/>
  <c r="G173" i="79"/>
  <c r="G175" i="79" s="1"/>
  <c r="G217" i="79" s="1"/>
  <c r="G179" i="79"/>
  <c r="I20" i="82"/>
  <c r="G40" i="64"/>
  <c r="G133" i="64" s="1"/>
  <c r="I40" i="64"/>
  <c r="I133" i="64" s="1"/>
  <c r="E40" i="64"/>
  <c r="E133" i="64" s="1"/>
  <c r="F40" i="64"/>
  <c r="F133" i="64" s="1"/>
  <c r="H40" i="64"/>
  <c r="H133" i="64" s="1"/>
  <c r="J40" i="64"/>
  <c r="J133" i="64" s="1"/>
  <c r="K40" i="64"/>
  <c r="K133" i="64" s="1"/>
  <c r="E144" i="64"/>
  <c r="E161" i="64"/>
  <c r="F144" i="64"/>
  <c r="F161" i="64"/>
  <c r="G144" i="64"/>
  <c r="G161" i="64"/>
  <c r="H144" i="64"/>
  <c r="H161" i="64"/>
  <c r="I161" i="64"/>
  <c r="I144" i="64"/>
  <c r="J161" i="64"/>
  <c r="J144" i="64"/>
  <c r="K144" i="64"/>
  <c r="K161" i="64"/>
  <c r="D147" i="44"/>
  <c r="F147" i="44" s="1"/>
  <c r="E147" i="44" s="1"/>
  <c r="H147" i="44"/>
  <c r="B148" i="44" s="1"/>
  <c r="E145" i="44"/>
  <c r="D23" i="76"/>
  <c r="F23" i="76" s="1"/>
  <c r="E23" i="76" s="1"/>
  <c r="H23" i="76"/>
  <c r="B24" i="76" s="1"/>
  <c r="G139" i="44"/>
  <c r="G105" i="44"/>
  <c r="G138" i="44"/>
  <c r="G99" i="44"/>
  <c r="G98" i="44"/>
  <c r="G104" i="44"/>
  <c r="G108" i="44"/>
  <c r="G112" i="44"/>
  <c r="G118" i="44"/>
  <c r="G122" i="44"/>
  <c r="G126" i="44"/>
  <c r="G132" i="44"/>
  <c r="G136" i="44"/>
  <c r="G109" i="44"/>
  <c r="G119" i="44"/>
  <c r="G137" i="44"/>
  <c r="H12" i="44"/>
  <c r="H13" i="44" s="1"/>
  <c r="G97" i="44"/>
  <c r="G103" i="44"/>
  <c r="G107" i="44"/>
  <c r="G111" i="44"/>
  <c r="G117" i="44"/>
  <c r="G121" i="44"/>
  <c r="G125" i="44"/>
  <c r="G131" i="44"/>
  <c r="G135" i="44"/>
  <c r="G113" i="44"/>
  <c r="G123" i="44"/>
  <c r="G127" i="44"/>
  <c r="G133" i="44"/>
  <c r="G102" i="44"/>
  <c r="G106" i="44"/>
  <c r="G110" i="44"/>
  <c r="G116" i="44"/>
  <c r="G120" i="44"/>
  <c r="G124" i="44"/>
  <c r="G130" i="44"/>
  <c r="G134" i="44"/>
  <c r="I171" i="87" l="1"/>
  <c r="I172" i="87"/>
  <c r="I111" i="87"/>
  <c r="I170" i="87" s="1"/>
  <c r="I177" i="87" s="1"/>
  <c r="J183" i="79"/>
  <c r="J187" i="79" s="1"/>
  <c r="J218" i="79" s="1"/>
  <c r="H15" i="77" s="1"/>
  <c r="J78" i="79"/>
  <c r="J205" i="79" s="1"/>
  <c r="J210" i="79" s="1"/>
  <c r="I8" i="78"/>
  <c r="I27" i="77" s="1"/>
  <c r="M197" i="79"/>
  <c r="M199" i="79" s="1"/>
  <c r="M224" i="79" s="1"/>
  <c r="M193" i="79"/>
  <c r="M223" i="79" s="1"/>
  <c r="L197" i="79"/>
  <c r="L199" i="79" s="1"/>
  <c r="L224" i="79" s="1"/>
  <c r="L193" i="79"/>
  <c r="L223" i="79" s="1"/>
  <c r="J26" i="77"/>
  <c r="J32" i="78"/>
  <c r="J33" i="78" s="1"/>
  <c r="K93" i="87"/>
  <c r="B9" i="86"/>
  <c r="I59" i="87"/>
  <c r="I56" i="87"/>
  <c r="I58" i="87" s="1"/>
  <c r="I191" i="79"/>
  <c r="J193" i="79"/>
  <c r="J223" i="79" s="1"/>
  <c r="J197" i="79"/>
  <c r="J199" i="79" s="1"/>
  <c r="J224" i="79" s="1"/>
  <c r="E43" i="81"/>
  <c r="D21" i="77" s="1"/>
  <c r="B46" i="81"/>
  <c r="J33" i="81"/>
  <c r="F205" i="79"/>
  <c r="F210" i="79" s="1"/>
  <c r="F83" i="79"/>
  <c r="B93" i="81"/>
  <c r="E93" i="81" s="1"/>
  <c r="H80" i="81"/>
  <c r="J20" i="82"/>
  <c r="F15" i="77"/>
  <c r="G191" i="79"/>
  <c r="F197" i="79"/>
  <c r="F199" i="79" s="1"/>
  <c r="F193" i="79"/>
  <c r="F229" i="79" s="1"/>
  <c r="B74" i="81"/>
  <c r="E74" i="81" s="1"/>
  <c r="H61" i="81"/>
  <c r="H76" i="81"/>
  <c r="B89" i="81"/>
  <c r="E89" i="81" s="1"/>
  <c r="I63" i="81"/>
  <c r="F48" i="81"/>
  <c r="I43" i="81"/>
  <c r="D22" i="77" s="1"/>
  <c r="J35" i="81"/>
  <c r="I153" i="79"/>
  <c r="I155" i="79" s="1"/>
  <c r="I216" i="79" s="1"/>
  <c r="I183" i="79"/>
  <c r="I187" i="79" s="1"/>
  <c r="I218" i="79" s="1"/>
  <c r="I78" i="79"/>
  <c r="I205" i="79" s="1"/>
  <c r="I210" i="79" s="1"/>
  <c r="I22" i="82"/>
  <c r="I24" i="82" s="1"/>
  <c r="H226" i="79" s="1"/>
  <c r="I59" i="81"/>
  <c r="G183" i="79"/>
  <c r="G187" i="79" s="1"/>
  <c r="G218" i="79" s="1"/>
  <c r="G78" i="79"/>
  <c r="G153" i="79"/>
  <c r="G155" i="79" s="1"/>
  <c r="G216" i="79" s="1"/>
  <c r="I41" i="81"/>
  <c r="F43" i="81"/>
  <c r="H205" i="79"/>
  <c r="H210" i="79" s="1"/>
  <c r="H83" i="79"/>
  <c r="H193" i="79"/>
  <c r="H223" i="79" s="1"/>
  <c r="H197" i="79"/>
  <c r="H199" i="79" s="1"/>
  <c r="H224" i="79" s="1"/>
  <c r="K162" i="64"/>
  <c r="K145" i="64"/>
  <c r="H145" i="64"/>
  <c r="H162" i="64"/>
  <c r="F145" i="64"/>
  <c r="F162" i="64"/>
  <c r="I162" i="64"/>
  <c r="I145" i="64"/>
  <c r="J162" i="64"/>
  <c r="J145" i="64"/>
  <c r="E145" i="64"/>
  <c r="E162" i="64"/>
  <c r="G145" i="64"/>
  <c r="G162" i="64"/>
  <c r="D148" i="44"/>
  <c r="F148" i="44" s="1"/>
  <c r="E148" i="44" s="1"/>
  <c r="H148" i="44"/>
  <c r="B149" i="44" s="1"/>
  <c r="D24" i="76"/>
  <c r="F24" i="76" s="1"/>
  <c r="E24" i="76" s="1"/>
  <c r="H24" i="76"/>
  <c r="B25" i="76" s="1"/>
  <c r="K26" i="10"/>
  <c r="F15" i="75"/>
  <c r="I175" i="87" l="1"/>
  <c r="I176" i="87"/>
  <c r="I174" i="87"/>
  <c r="I246" i="87"/>
  <c r="I244" i="87"/>
  <c r="I245" i="87" s="1"/>
  <c r="I249" i="87" s="1"/>
  <c r="M229" i="79"/>
  <c r="M232" i="79" s="1"/>
  <c r="M231" i="79" s="1"/>
  <c r="J83" i="79"/>
  <c r="E15" i="77"/>
  <c r="G4" i="83"/>
  <c r="G12" i="83"/>
  <c r="J10" i="78"/>
  <c r="J13" i="78" s="1"/>
  <c r="J17" i="78" s="1"/>
  <c r="J24" i="78" s="1"/>
  <c r="H5" i="83" s="1"/>
  <c r="H6" i="83" s="1"/>
  <c r="L229" i="79"/>
  <c r="L232" i="79" s="1"/>
  <c r="K26" i="77"/>
  <c r="H12" i="83"/>
  <c r="J31" i="77"/>
  <c r="K10" i="78"/>
  <c r="K13" i="78" s="1"/>
  <c r="K17" i="78" s="1"/>
  <c r="K24" i="78" s="1"/>
  <c r="K270" i="87"/>
  <c r="K98" i="87"/>
  <c r="G15" i="77"/>
  <c r="F10" i="78"/>
  <c r="H89" i="81"/>
  <c r="B102" i="81"/>
  <c r="E102" i="81" s="1"/>
  <c r="H6" i="78"/>
  <c r="F232" i="79"/>
  <c r="D8" i="78"/>
  <c r="K20" i="82"/>
  <c r="L20" i="82"/>
  <c r="G83" i="79"/>
  <c r="G205" i="79"/>
  <c r="G210" i="79" s="1"/>
  <c r="F72" i="81"/>
  <c r="J22" i="82"/>
  <c r="J24" i="82" s="1"/>
  <c r="I226" i="79" s="1"/>
  <c r="H229" i="79"/>
  <c r="H232" i="79" s="1"/>
  <c r="I193" i="79"/>
  <c r="I223" i="79" s="1"/>
  <c r="I197" i="79"/>
  <c r="I199" i="79" s="1"/>
  <c r="I224" i="79" s="1"/>
  <c r="G6" i="78"/>
  <c r="B87" i="81"/>
  <c r="E87" i="81" s="1"/>
  <c r="H74" i="81"/>
  <c r="J43" i="81"/>
  <c r="G197" i="79"/>
  <c r="G199" i="79" s="1"/>
  <c r="G224" i="79" s="1"/>
  <c r="G193" i="79"/>
  <c r="G223" i="79" s="1"/>
  <c r="F6" i="78"/>
  <c r="I48" i="81"/>
  <c r="F56" i="81"/>
  <c r="B106" i="81"/>
  <c r="E106" i="81" s="1"/>
  <c r="H93" i="81"/>
  <c r="E46" i="81"/>
  <c r="B56" i="81"/>
  <c r="F54" i="81"/>
  <c r="I54" i="81" s="1"/>
  <c r="J41" i="81"/>
  <c r="I83" i="79"/>
  <c r="F76" i="81"/>
  <c r="I76" i="81" s="1"/>
  <c r="J63" i="81"/>
  <c r="D23" i="77"/>
  <c r="H149" i="44"/>
  <c r="B150" i="44" s="1"/>
  <c r="D149" i="44"/>
  <c r="F149" i="44" s="1"/>
  <c r="E149" i="44" s="1"/>
  <c r="H25" i="76"/>
  <c r="B26" i="76" s="1"/>
  <c r="D25" i="76"/>
  <c r="F25" i="76" s="1"/>
  <c r="E25" i="76" s="1"/>
  <c r="C15" i="75"/>
  <c r="E15" i="75"/>
  <c r="G15" i="75"/>
  <c r="B15" i="75"/>
  <c r="D15" i="75"/>
  <c r="M236" i="79" l="1"/>
  <c r="M240" i="79" s="1"/>
  <c r="M247" i="79" s="1"/>
  <c r="K26" i="78"/>
  <c r="K17" i="77" s="1"/>
  <c r="I5" i="83"/>
  <c r="I6" i="83" s="1"/>
  <c r="E10" i="78"/>
  <c r="G8" i="78"/>
  <c r="E4" i="83" s="1"/>
  <c r="F8" i="78"/>
  <c r="F13" i="78" s="1"/>
  <c r="L231" i="79"/>
  <c r="L236" i="79"/>
  <c r="L240" i="79" s="1"/>
  <c r="L247" i="79" s="1"/>
  <c r="H8" i="78"/>
  <c r="H27" i="77" s="1"/>
  <c r="I12" i="83"/>
  <c r="K31" i="77"/>
  <c r="J26" i="78"/>
  <c r="J17" i="77" s="1"/>
  <c r="K262" i="87"/>
  <c r="G10" i="78"/>
  <c r="I229" i="79"/>
  <c r="I232" i="79" s="1"/>
  <c r="I231" i="79" s="1"/>
  <c r="H231" i="79"/>
  <c r="H236" i="79"/>
  <c r="H87" i="81"/>
  <c r="B100" i="81"/>
  <c r="E100" i="81" s="1"/>
  <c r="K22" i="82"/>
  <c r="K24" i="82" s="1"/>
  <c r="J226" i="79" s="1"/>
  <c r="B4" i="83"/>
  <c r="D13" i="78"/>
  <c r="D17" i="78" s="1"/>
  <c r="D24" i="78" s="1"/>
  <c r="B12" i="83"/>
  <c r="F231" i="79"/>
  <c r="F236" i="79"/>
  <c r="F240" i="79" s="1"/>
  <c r="F247" i="79" s="1"/>
  <c r="G229" i="79"/>
  <c r="G232" i="79" s="1"/>
  <c r="I72" i="81"/>
  <c r="E6" i="78"/>
  <c r="H102" i="81"/>
  <c r="J46" i="81"/>
  <c r="B59" i="81"/>
  <c r="H106" i="81"/>
  <c r="F67" i="81"/>
  <c r="I67" i="81" s="1"/>
  <c r="J54" i="81"/>
  <c r="F61" i="81"/>
  <c r="J48" i="81"/>
  <c r="F89" i="81"/>
  <c r="I89" i="81" s="1"/>
  <c r="J76" i="81"/>
  <c r="D4" i="83"/>
  <c r="L22" i="82"/>
  <c r="L24" i="82" s="1"/>
  <c r="K226" i="79" s="1"/>
  <c r="H150" i="44"/>
  <c r="B151" i="44" s="1"/>
  <c r="D150" i="44"/>
  <c r="F150" i="44" s="1"/>
  <c r="H26" i="76"/>
  <c r="B27" i="76" s="1"/>
  <c r="D26" i="76"/>
  <c r="F26" i="76" s="1"/>
  <c r="E26" i="76" s="1"/>
  <c r="G108" i="70"/>
  <c r="D108" i="70"/>
  <c r="C108" i="70"/>
  <c r="G95" i="70"/>
  <c r="D95" i="70"/>
  <c r="C95" i="70"/>
  <c r="G82" i="70"/>
  <c r="D82" i="70"/>
  <c r="C82" i="70"/>
  <c r="G69" i="70"/>
  <c r="D69" i="70"/>
  <c r="C69" i="70"/>
  <c r="G56" i="70"/>
  <c r="D56" i="70"/>
  <c r="C56" i="70"/>
  <c r="G43" i="70"/>
  <c r="D43" i="70"/>
  <c r="C43" i="70"/>
  <c r="G30" i="70"/>
  <c r="D30" i="70"/>
  <c r="G17" i="70"/>
  <c r="D17" i="70"/>
  <c r="F27" i="77" l="1"/>
  <c r="D12" i="83" s="1"/>
  <c r="G27" i="77"/>
  <c r="E12" i="83" s="1"/>
  <c r="F12" i="83"/>
  <c r="H13" i="83"/>
  <c r="H14" i="83" s="1"/>
  <c r="H8" i="83"/>
  <c r="J28" i="78"/>
  <c r="K28" i="78"/>
  <c r="F4" i="83"/>
  <c r="E8" i="78"/>
  <c r="C4" i="83" s="1"/>
  <c r="I13" i="83"/>
  <c r="I14" i="83" s="1"/>
  <c r="I8" i="83"/>
  <c r="G13" i="78"/>
  <c r="I236" i="79"/>
  <c r="J229" i="79"/>
  <c r="J232" i="79" s="1"/>
  <c r="H10" i="78"/>
  <c r="G236" i="79"/>
  <c r="G231" i="79"/>
  <c r="K229" i="79"/>
  <c r="K232" i="79" s="1"/>
  <c r="I10" i="78"/>
  <c r="D31" i="77"/>
  <c r="B5" i="83"/>
  <c r="B6" i="83" s="1"/>
  <c r="D26" i="78"/>
  <c r="F80" i="81"/>
  <c r="I80" i="81" s="1"/>
  <c r="J67" i="81"/>
  <c r="F102" i="81"/>
  <c r="I102" i="81" s="1"/>
  <c r="J102" i="81" s="1"/>
  <c r="J89" i="81"/>
  <c r="I61" i="81"/>
  <c r="E59" i="81"/>
  <c r="F85" i="81"/>
  <c r="H100" i="81"/>
  <c r="D151" i="44"/>
  <c r="F151" i="44" s="1"/>
  <c r="E151" i="44" s="1"/>
  <c r="H151" i="44"/>
  <c r="B152" i="44" s="1"/>
  <c r="E150" i="44"/>
  <c r="H27" i="76"/>
  <c r="B28" i="76" s="1"/>
  <c r="D27" i="76"/>
  <c r="F27" i="76" s="1"/>
  <c r="E27" i="76" s="1"/>
  <c r="E11" i="70"/>
  <c r="E15" i="70"/>
  <c r="E13" i="78" l="1"/>
  <c r="E27" i="77"/>
  <c r="K30" i="78"/>
  <c r="K34" i="78" s="1"/>
  <c r="K36" i="77"/>
  <c r="J36" i="77"/>
  <c r="J30" i="78"/>
  <c r="J34" i="78" s="1"/>
  <c r="H13" i="78"/>
  <c r="I13" i="78"/>
  <c r="I85" i="81"/>
  <c r="B8" i="83"/>
  <c r="B13" i="83"/>
  <c r="B14" i="83" s="1"/>
  <c r="F74" i="81"/>
  <c r="J61" i="81"/>
  <c r="K236" i="79"/>
  <c r="K231" i="79"/>
  <c r="D28" i="78"/>
  <c r="F93" i="81"/>
  <c r="I93" i="81" s="1"/>
  <c r="J80" i="81"/>
  <c r="J59" i="81"/>
  <c r="B72" i="81"/>
  <c r="J236" i="79"/>
  <c r="J231" i="79"/>
  <c r="D152" i="44"/>
  <c r="F152" i="44" s="1"/>
  <c r="E152" i="44" s="1"/>
  <c r="H152" i="44"/>
  <c r="B153" i="44" s="1"/>
  <c r="D28" i="76"/>
  <c r="F28" i="76" s="1"/>
  <c r="E28" i="76" s="1"/>
  <c r="H28" i="76"/>
  <c r="B29" i="76" s="1"/>
  <c r="I13" i="70"/>
  <c r="F26" i="70" s="1"/>
  <c r="F17" i="70"/>
  <c r="I7" i="70"/>
  <c r="H15" i="70"/>
  <c r="I15" i="70" s="1"/>
  <c r="F28" i="70" s="1"/>
  <c r="B28" i="70"/>
  <c r="E28" i="70" s="1"/>
  <c r="I11" i="70"/>
  <c r="B24" i="70"/>
  <c r="E24" i="70" s="1"/>
  <c r="C12" i="83" l="1"/>
  <c r="D36" i="77"/>
  <c r="D30" i="78"/>
  <c r="D34" i="78" s="1"/>
  <c r="E72" i="81"/>
  <c r="F98" i="81"/>
  <c r="F106" i="81"/>
  <c r="I106" i="81" s="1"/>
  <c r="J106" i="81" s="1"/>
  <c r="J93" i="81"/>
  <c r="I74" i="81"/>
  <c r="H153" i="44"/>
  <c r="B154" i="44" s="1"/>
  <c r="D153" i="44"/>
  <c r="F153" i="44" s="1"/>
  <c r="E153" i="44" s="1"/>
  <c r="H29" i="76"/>
  <c r="B30" i="76" s="1"/>
  <c r="D29" i="76"/>
  <c r="J15" i="70"/>
  <c r="F24" i="70"/>
  <c r="J11" i="70"/>
  <c r="I28" i="70"/>
  <c r="F41" i="70" s="1"/>
  <c r="F54" i="70" s="1"/>
  <c r="B41" i="70"/>
  <c r="E41" i="70" s="1"/>
  <c r="F20" i="70"/>
  <c r="H17" i="70"/>
  <c r="I9" i="70"/>
  <c r="I17" i="70" s="1"/>
  <c r="B21" i="50" s="1"/>
  <c r="B37" i="70"/>
  <c r="E37" i="70" s="1"/>
  <c r="B17" i="70"/>
  <c r="D38" i="77" l="1"/>
  <c r="D7" i="77" s="1"/>
  <c r="I98" i="81"/>
  <c r="B85" i="81"/>
  <c r="J72" i="81"/>
  <c r="F87" i="81"/>
  <c r="J74" i="81"/>
  <c r="I54" i="70"/>
  <c r="J54" i="70" s="1"/>
  <c r="D154" i="44"/>
  <c r="F154" i="44" s="1"/>
  <c r="E154" i="44" s="1"/>
  <c r="H154" i="44"/>
  <c r="B155" i="44" s="1"/>
  <c r="F29" i="76"/>
  <c r="H30" i="76"/>
  <c r="B33" i="76" s="1"/>
  <c r="D30" i="76"/>
  <c r="F30" i="76" s="1"/>
  <c r="E30" i="76" s="1"/>
  <c r="J28" i="70"/>
  <c r="H37" i="70"/>
  <c r="B50" i="70"/>
  <c r="E50" i="70" s="1"/>
  <c r="B54" i="70"/>
  <c r="E54" i="70" s="1"/>
  <c r="F22" i="70"/>
  <c r="F30" i="70" s="1"/>
  <c r="I20" i="70"/>
  <c r="I24" i="70"/>
  <c r="E35" i="77" l="1"/>
  <c r="I87" i="81"/>
  <c r="B16" i="83"/>
  <c r="B7" i="83"/>
  <c r="D19" i="77"/>
  <c r="D32" i="77" s="1"/>
  <c r="E85" i="81"/>
  <c r="F67" i="70"/>
  <c r="D155" i="44"/>
  <c r="H155" i="44"/>
  <c r="D31" i="76"/>
  <c r="D33" i="76"/>
  <c r="F33" i="76" s="1"/>
  <c r="E33" i="76" s="1"/>
  <c r="H33" i="76"/>
  <c r="B34" i="76" s="1"/>
  <c r="E29" i="76"/>
  <c r="E31" i="76" s="1"/>
  <c r="F31" i="76"/>
  <c r="F37" i="70"/>
  <c r="I37" i="70" s="1"/>
  <c r="J24" i="70"/>
  <c r="F33" i="70"/>
  <c r="B63" i="70"/>
  <c r="E63" i="70" s="1"/>
  <c r="H50" i="70"/>
  <c r="B67" i="70"/>
  <c r="E67" i="70" s="1"/>
  <c r="B98" i="81" l="1"/>
  <c r="J85" i="81"/>
  <c r="B11" i="83"/>
  <c r="B10" i="83"/>
  <c r="B18" i="83"/>
  <c r="B19" i="83" s="1"/>
  <c r="B20" i="83" s="1"/>
  <c r="B22" i="83" s="1"/>
  <c r="F100" i="81"/>
  <c r="J87" i="81"/>
  <c r="I67" i="70"/>
  <c r="J67" i="70" s="1"/>
  <c r="F155" i="44"/>
  <c r="D156" i="44"/>
  <c r="B35" i="76"/>
  <c r="H35" i="76" s="1"/>
  <c r="D34" i="76"/>
  <c r="F34" i="76" s="1"/>
  <c r="E34" i="76" s="1"/>
  <c r="H63" i="70"/>
  <c r="B76" i="70"/>
  <c r="E76" i="70" s="1"/>
  <c r="B80" i="70"/>
  <c r="E80" i="70" s="1"/>
  <c r="I33" i="70"/>
  <c r="F50" i="70"/>
  <c r="I50" i="70" s="1"/>
  <c r="J37" i="70"/>
  <c r="B21" i="83" l="1"/>
  <c r="B25" i="83" s="1"/>
  <c r="B26" i="83" s="1"/>
  <c r="I100" i="81"/>
  <c r="E98" i="81"/>
  <c r="F80" i="70"/>
  <c r="E155" i="44"/>
  <c r="E156" i="44" s="1"/>
  <c r="F156" i="44"/>
  <c r="B36" i="76"/>
  <c r="H36" i="76" s="1"/>
  <c r="D35" i="76"/>
  <c r="F35" i="76" s="1"/>
  <c r="E35" i="76" s="1"/>
  <c r="F46" i="70"/>
  <c r="F63" i="70"/>
  <c r="I63" i="70" s="1"/>
  <c r="J50" i="70"/>
  <c r="B93" i="70"/>
  <c r="E93" i="70" s="1"/>
  <c r="B89" i="70"/>
  <c r="E89" i="70" s="1"/>
  <c r="H76" i="70"/>
  <c r="B23" i="83" l="1"/>
  <c r="J98" i="81"/>
  <c r="J100" i="81"/>
  <c r="I80" i="70"/>
  <c r="J80" i="70" s="1"/>
  <c r="D36" i="76"/>
  <c r="F36" i="76" s="1"/>
  <c r="E36" i="76" s="1"/>
  <c r="B37" i="76"/>
  <c r="H37" i="76" s="1"/>
  <c r="H89" i="70"/>
  <c r="B102" i="70"/>
  <c r="E102" i="70" s="1"/>
  <c r="B106" i="70"/>
  <c r="E106" i="70" s="1"/>
  <c r="F76" i="70"/>
  <c r="I76" i="70" s="1"/>
  <c r="J63" i="70"/>
  <c r="I46" i="70"/>
  <c r="F93" i="70" l="1"/>
  <c r="I93" i="70" s="1"/>
  <c r="J93" i="70" s="1"/>
  <c r="D37" i="76"/>
  <c r="F37" i="76" s="1"/>
  <c r="E37" i="76" s="1"/>
  <c r="B38" i="76"/>
  <c r="H38" i="76" s="1"/>
  <c r="F59" i="70"/>
  <c r="F89" i="70"/>
  <c r="I89" i="70" s="1"/>
  <c r="J76" i="70"/>
  <c r="H102" i="70"/>
  <c r="F106" i="70" l="1"/>
  <c r="I106" i="70" s="1"/>
  <c r="J106" i="70" s="1"/>
  <c r="B39" i="76"/>
  <c r="H39" i="76" s="1"/>
  <c r="D38" i="76"/>
  <c r="F38" i="76" s="1"/>
  <c r="E38" i="76" s="1"/>
  <c r="F102" i="70"/>
  <c r="I102" i="70" s="1"/>
  <c r="J102" i="70" s="1"/>
  <c r="J89" i="70"/>
  <c r="I59" i="70"/>
  <c r="D39" i="76" l="1"/>
  <c r="F39" i="76" s="1"/>
  <c r="E39" i="76" s="1"/>
  <c r="B40" i="76"/>
  <c r="H40" i="76" s="1"/>
  <c r="F72" i="70"/>
  <c r="D40" i="76" l="1"/>
  <c r="F40" i="76" s="1"/>
  <c r="E40" i="76" s="1"/>
  <c r="B41" i="76"/>
  <c r="H41" i="76" s="1"/>
  <c r="I72" i="70"/>
  <c r="B42" i="76" l="1"/>
  <c r="H42" i="76" s="1"/>
  <c r="D41" i="76"/>
  <c r="F41" i="76" s="1"/>
  <c r="E41" i="76" s="1"/>
  <c r="F85" i="70"/>
  <c r="B43" i="76" l="1"/>
  <c r="H43" i="76" s="1"/>
  <c r="D42" i="76"/>
  <c r="F42" i="76" s="1"/>
  <c r="E42" i="76" s="1"/>
  <c r="I85" i="70"/>
  <c r="D43" i="76" l="1"/>
  <c r="B44" i="76"/>
  <c r="H44" i="76" s="1"/>
  <c r="F98" i="70"/>
  <c r="B47" i="76" l="1"/>
  <c r="D44" i="76"/>
  <c r="F44" i="76" s="1"/>
  <c r="E44" i="76" s="1"/>
  <c r="F43" i="76"/>
  <c r="D45" i="76"/>
  <c r="I98" i="70"/>
  <c r="E43" i="76" l="1"/>
  <c r="E45" i="76" s="1"/>
  <c r="F45" i="76"/>
  <c r="B48" i="76"/>
  <c r="H48" i="76" s="1"/>
  <c r="D47" i="76"/>
  <c r="F47" i="76" s="1"/>
  <c r="E47" i="76" s="1"/>
  <c r="G12" i="51"/>
  <c r="A80" i="10"/>
  <c r="A81" i="10" s="1"/>
  <c r="A82" i="10" s="1"/>
  <c r="C25" i="50"/>
  <c r="A6" i="69"/>
  <c r="A7" i="69" s="1"/>
  <c r="K177" i="64"/>
  <c r="K224" i="64" s="1"/>
  <c r="J177" i="64"/>
  <c r="J224" i="64" s="1"/>
  <c r="I177" i="64"/>
  <c r="I224" i="64" s="1"/>
  <c r="H177" i="64"/>
  <c r="H224" i="64" s="1"/>
  <c r="G177" i="64"/>
  <c r="G224" i="64" s="1"/>
  <c r="F177" i="64"/>
  <c r="F224" i="64" s="1"/>
  <c r="E173" i="64"/>
  <c r="D25" i="50" l="1"/>
  <c r="C25" i="84"/>
  <c r="E177" i="64"/>
  <c r="F231" i="64"/>
  <c r="F230" i="64"/>
  <c r="H230" i="64" s="1"/>
  <c r="I230" i="64" s="1"/>
  <c r="J230" i="64" s="1"/>
  <c r="K230" i="64" s="1"/>
  <c r="L230" i="64" s="1"/>
  <c r="M230" i="64" s="1"/>
  <c r="F229" i="64"/>
  <c r="B49" i="76"/>
  <c r="H49" i="76" s="1"/>
  <c r="D48" i="76"/>
  <c r="F48" i="76" s="1"/>
  <c r="E48" i="76" s="1"/>
  <c r="K66" i="64"/>
  <c r="K68" i="64" s="1"/>
  <c r="J66" i="64"/>
  <c r="J68" i="64" s="1"/>
  <c r="I66" i="64"/>
  <c r="I68" i="64" s="1"/>
  <c r="H66" i="64"/>
  <c r="G66" i="64"/>
  <c r="G68" i="64" s="1"/>
  <c r="F66" i="64"/>
  <c r="F68" i="64" s="1"/>
  <c r="E66" i="64"/>
  <c r="K49" i="64"/>
  <c r="K51" i="64" s="1"/>
  <c r="J49" i="64"/>
  <c r="J51" i="64" s="1"/>
  <c r="I49" i="64"/>
  <c r="I51" i="64" s="1"/>
  <c r="H49" i="64"/>
  <c r="H51" i="64" s="1"/>
  <c r="G49" i="64"/>
  <c r="G51" i="64" s="1"/>
  <c r="F49" i="64"/>
  <c r="F51" i="64" s="1"/>
  <c r="E49" i="64"/>
  <c r="G89" i="44"/>
  <c r="G85" i="44"/>
  <c r="G83" i="44"/>
  <c r="G81" i="44"/>
  <c r="G79" i="44"/>
  <c r="G77" i="44"/>
  <c r="G75" i="44"/>
  <c r="G71" i="44"/>
  <c r="G69" i="44"/>
  <c r="H61" i="10"/>
  <c r="H60" i="10"/>
  <c r="H53" i="10"/>
  <c r="H52" i="10"/>
  <c r="H27" i="10"/>
  <c r="H26" i="10"/>
  <c r="H25" i="10"/>
  <c r="J31" i="87" l="1"/>
  <c r="K29" i="87" s="1"/>
  <c r="J134" i="87"/>
  <c r="C30" i="84"/>
  <c r="H229" i="64"/>
  <c r="E25" i="50"/>
  <c r="D25" i="84"/>
  <c r="H68" i="64"/>
  <c r="H71" i="64" s="1"/>
  <c r="H216" i="64" s="1"/>
  <c r="B50" i="76"/>
  <c r="H50" i="76" s="1"/>
  <c r="D49" i="76"/>
  <c r="F49" i="76" s="1"/>
  <c r="E49" i="76" s="1"/>
  <c r="H54" i="10"/>
  <c r="H71" i="10"/>
  <c r="H62" i="10"/>
  <c r="K71" i="64"/>
  <c r="K216" i="64" s="1"/>
  <c r="K53" i="64"/>
  <c r="K55" i="64" s="1"/>
  <c r="J71" i="64"/>
  <c r="J216" i="64" s="1"/>
  <c r="J53" i="64"/>
  <c r="J55" i="64" s="1"/>
  <c r="I71" i="64"/>
  <c r="I216" i="64" s="1"/>
  <c r="I53" i="64"/>
  <c r="I55" i="64" s="1"/>
  <c r="G71" i="64"/>
  <c r="G216" i="64" s="1"/>
  <c r="F53" i="64"/>
  <c r="F55" i="64" s="1"/>
  <c r="F71" i="64"/>
  <c r="F216" i="64" s="1"/>
  <c r="E68" i="64"/>
  <c r="E71" i="64" s="1"/>
  <c r="E51" i="64"/>
  <c r="E53" i="64" s="1"/>
  <c r="E55" i="64" s="1"/>
  <c r="F130" i="64"/>
  <c r="H130" i="64"/>
  <c r="J130" i="64"/>
  <c r="E130" i="64"/>
  <c r="G130" i="64"/>
  <c r="I130" i="64"/>
  <c r="K130" i="64"/>
  <c r="H53" i="64"/>
  <c r="H55" i="64" s="1"/>
  <c r="G53" i="64"/>
  <c r="G55" i="64" s="1"/>
  <c r="G70" i="44"/>
  <c r="G74" i="44"/>
  <c r="G76" i="44"/>
  <c r="G78" i="44"/>
  <c r="G80" i="44"/>
  <c r="G82" i="44"/>
  <c r="G84" i="44"/>
  <c r="G88" i="44"/>
  <c r="G90" i="44"/>
  <c r="K134" i="87" l="1"/>
  <c r="K31" i="87"/>
  <c r="L29" i="87" s="1"/>
  <c r="F25" i="50"/>
  <c r="E25" i="84"/>
  <c r="I229" i="64"/>
  <c r="J229" i="64" s="1"/>
  <c r="K229" i="64" s="1"/>
  <c r="L229" i="64" s="1"/>
  <c r="M229" i="64" s="1"/>
  <c r="J197" i="87"/>
  <c r="J290" i="87"/>
  <c r="J129" i="87"/>
  <c r="M181" i="64"/>
  <c r="L181" i="64"/>
  <c r="B51" i="76"/>
  <c r="H51" i="76" s="1"/>
  <c r="D50" i="76"/>
  <c r="F50" i="76" s="1"/>
  <c r="E50" i="76" s="1"/>
  <c r="E57" i="64"/>
  <c r="E60" i="64" s="1"/>
  <c r="E181" i="64"/>
  <c r="H181" i="64"/>
  <c r="H57" i="64"/>
  <c r="H60" i="64" s="1"/>
  <c r="F57" i="64"/>
  <c r="F60" i="64" s="1"/>
  <c r="F181" i="64"/>
  <c r="G181" i="64"/>
  <c r="G57" i="64"/>
  <c r="G60" i="64" s="1"/>
  <c r="J57" i="64"/>
  <c r="J60" i="64" s="1"/>
  <c r="J181" i="64"/>
  <c r="I57" i="64"/>
  <c r="I60" i="64" s="1"/>
  <c r="I181" i="64"/>
  <c r="K57" i="64"/>
  <c r="K60" i="64" s="1"/>
  <c r="K181" i="64"/>
  <c r="E76" i="64"/>
  <c r="H76" i="64"/>
  <c r="F76" i="64"/>
  <c r="J76" i="64"/>
  <c r="G76" i="64"/>
  <c r="I76" i="64"/>
  <c r="K76" i="64"/>
  <c r="G142" i="44"/>
  <c r="H15" i="50" s="1"/>
  <c r="H10" i="50" s="1"/>
  <c r="L134" i="87" l="1"/>
  <c r="L31" i="87"/>
  <c r="M29" i="87" s="1"/>
  <c r="J321" i="87"/>
  <c r="J147" i="87"/>
  <c r="J344" i="87"/>
  <c r="G25" i="50"/>
  <c r="F25" i="84"/>
  <c r="K290" i="87"/>
  <c r="K197" i="87"/>
  <c r="K129" i="87"/>
  <c r="L183" i="64"/>
  <c r="L185" i="64" s="1"/>
  <c r="L227" i="64" s="1"/>
  <c r="L189" i="64"/>
  <c r="M183" i="64"/>
  <c r="M185" i="64" s="1"/>
  <c r="M227" i="64" s="1"/>
  <c r="M189" i="64"/>
  <c r="B52" i="76"/>
  <c r="H52" i="76" s="1"/>
  <c r="D51" i="76"/>
  <c r="F51" i="76" s="1"/>
  <c r="E51" i="76" s="1"/>
  <c r="K78" i="64"/>
  <c r="F78" i="64"/>
  <c r="J78" i="64"/>
  <c r="G78" i="64"/>
  <c r="E78" i="64"/>
  <c r="I78" i="64"/>
  <c r="H78" i="64"/>
  <c r="G85" i="64"/>
  <c r="G217" i="64" s="1"/>
  <c r="F85" i="64"/>
  <c r="E85" i="64"/>
  <c r="J85" i="64"/>
  <c r="J217" i="64" s="1"/>
  <c r="I85" i="64"/>
  <c r="K85" i="64"/>
  <c r="H85" i="64"/>
  <c r="H183" i="64"/>
  <c r="H185" i="64" s="1"/>
  <c r="H227" i="64" s="1"/>
  <c r="H189" i="64"/>
  <c r="E183" i="64"/>
  <c r="E185" i="64" s="1"/>
  <c r="E189" i="64"/>
  <c r="I183" i="64"/>
  <c r="I185" i="64" s="1"/>
  <c r="I227" i="64" s="1"/>
  <c r="I189" i="64"/>
  <c r="F183" i="64"/>
  <c r="F185" i="64" s="1"/>
  <c r="F227" i="64" s="1"/>
  <c r="F189" i="64"/>
  <c r="J183" i="64"/>
  <c r="J185" i="64" s="1"/>
  <c r="J227" i="64" s="1"/>
  <c r="J189" i="64"/>
  <c r="G183" i="64"/>
  <c r="G185" i="64" s="1"/>
  <c r="G227" i="64" s="1"/>
  <c r="G189" i="64"/>
  <c r="K183" i="64"/>
  <c r="K185" i="64" s="1"/>
  <c r="K227" i="64" s="1"/>
  <c r="K189" i="64"/>
  <c r="K344" i="87" l="1"/>
  <c r="M31" i="87"/>
  <c r="M134" i="87"/>
  <c r="H25" i="50"/>
  <c r="G25" i="84"/>
  <c r="J334" i="87"/>
  <c r="J247" i="87"/>
  <c r="J173" i="87"/>
  <c r="J308" i="87" s="1"/>
  <c r="J217" i="87"/>
  <c r="J169" i="87"/>
  <c r="J295" i="87"/>
  <c r="J296" i="87" s="1"/>
  <c r="J280" i="87" s="1"/>
  <c r="J284" i="87" s="1"/>
  <c r="J241" i="87"/>
  <c r="J243" i="87" s="1"/>
  <c r="J328" i="87"/>
  <c r="J330" i="87" s="1"/>
  <c r="J248" i="87"/>
  <c r="J335" i="87"/>
  <c r="L290" i="87"/>
  <c r="L197" i="87"/>
  <c r="L129" i="87"/>
  <c r="M197" i="64"/>
  <c r="M228" i="64" s="1"/>
  <c r="K14" i="50" s="1"/>
  <c r="K14" i="84" s="1"/>
  <c r="M201" i="64"/>
  <c r="L197" i="64"/>
  <c r="L228" i="64" s="1"/>
  <c r="J14" i="50" s="1"/>
  <c r="J14" i="84" s="1"/>
  <c r="L201" i="64"/>
  <c r="B53" i="76"/>
  <c r="H53" i="76" s="1"/>
  <c r="D52" i="76"/>
  <c r="F52" i="76" s="1"/>
  <c r="E52" i="76" s="1"/>
  <c r="J80" i="64"/>
  <c r="J146" i="64"/>
  <c r="J148" i="64" s="1"/>
  <c r="J152" i="64" s="1"/>
  <c r="J225" i="64" s="1"/>
  <c r="K146" i="64"/>
  <c r="K148" i="64" s="1"/>
  <c r="K152" i="64" s="1"/>
  <c r="K225" i="64" s="1"/>
  <c r="K80" i="64"/>
  <c r="I146" i="64"/>
  <c r="I148" i="64" s="1"/>
  <c r="I152" i="64" s="1"/>
  <c r="I225" i="64" s="1"/>
  <c r="I80" i="64"/>
  <c r="G146" i="64"/>
  <c r="G148" i="64" s="1"/>
  <c r="G152" i="64" s="1"/>
  <c r="G225" i="64" s="1"/>
  <c r="G80" i="64"/>
  <c r="H80" i="64"/>
  <c r="H146" i="64"/>
  <c r="H148" i="64" s="1"/>
  <c r="H152" i="64" s="1"/>
  <c r="H225" i="64" s="1"/>
  <c r="E146" i="64"/>
  <c r="E148" i="64" s="1"/>
  <c r="E152" i="64" s="1"/>
  <c r="E80" i="64"/>
  <c r="F146" i="64"/>
  <c r="F148" i="64" s="1"/>
  <c r="F152" i="64" s="1"/>
  <c r="F225" i="64" s="1"/>
  <c r="F80" i="64"/>
  <c r="K217" i="64"/>
  <c r="I217" i="64"/>
  <c r="F217" i="64"/>
  <c r="H217" i="64"/>
  <c r="K201" i="64"/>
  <c r="G201" i="64"/>
  <c r="J201" i="64"/>
  <c r="F201" i="64"/>
  <c r="I201" i="64"/>
  <c r="E201" i="64"/>
  <c r="H201" i="64"/>
  <c r="F14" i="65"/>
  <c r="D20" i="65"/>
  <c r="D24" i="65" s="1"/>
  <c r="B15" i="65"/>
  <c r="N13" i="64"/>
  <c r="I25" i="50" l="1"/>
  <c r="H25" i="84"/>
  <c r="J312" i="87"/>
  <c r="L344" i="87"/>
  <c r="M290" i="87"/>
  <c r="M129" i="87"/>
  <c r="M197" i="87"/>
  <c r="L207" i="64"/>
  <c r="L209" i="64" s="1"/>
  <c r="L234" i="64" s="1"/>
  <c r="L203" i="64"/>
  <c r="L233" i="64" s="1"/>
  <c r="M207" i="64"/>
  <c r="M209" i="64" s="1"/>
  <c r="M234" i="64" s="1"/>
  <c r="M203" i="64"/>
  <c r="M233" i="64" s="1"/>
  <c r="B54" i="76"/>
  <c r="H54" i="76" s="1"/>
  <c r="D53" i="76"/>
  <c r="F53" i="76" s="1"/>
  <c r="E53" i="76" s="1"/>
  <c r="G83" i="64"/>
  <c r="G163" i="64"/>
  <c r="G165" i="64" s="1"/>
  <c r="G226" i="64" s="1"/>
  <c r="G193" i="64"/>
  <c r="G197" i="64" s="1"/>
  <c r="G228" i="64" s="1"/>
  <c r="J83" i="64"/>
  <c r="J193" i="64"/>
  <c r="J197" i="64" s="1"/>
  <c r="J228" i="64" s="1"/>
  <c r="J163" i="64"/>
  <c r="J165" i="64" s="1"/>
  <c r="J226" i="64" s="1"/>
  <c r="H83" i="64"/>
  <c r="H193" i="64"/>
  <c r="H197" i="64" s="1"/>
  <c r="H228" i="64" s="1"/>
  <c r="H163" i="64"/>
  <c r="H165" i="64" s="1"/>
  <c r="H226" i="64" s="1"/>
  <c r="F14" i="50" s="1"/>
  <c r="F14" i="84" s="1"/>
  <c r="M75" i="87" s="1"/>
  <c r="E83" i="64"/>
  <c r="E163" i="64"/>
  <c r="E165" i="64" s="1"/>
  <c r="E193" i="64"/>
  <c r="E197" i="64" s="1"/>
  <c r="I83" i="64"/>
  <c r="I215" i="64" s="1"/>
  <c r="I220" i="64" s="1"/>
  <c r="I193" i="64"/>
  <c r="I197" i="64" s="1"/>
  <c r="I228" i="64" s="1"/>
  <c r="I163" i="64"/>
  <c r="I165" i="64" s="1"/>
  <c r="I226" i="64" s="1"/>
  <c r="F83" i="64"/>
  <c r="F193" i="64"/>
  <c r="F197" i="64" s="1"/>
  <c r="F228" i="64" s="1"/>
  <c r="F163" i="64"/>
  <c r="F165" i="64" s="1"/>
  <c r="F226" i="64" s="1"/>
  <c r="K83" i="64"/>
  <c r="K163" i="64"/>
  <c r="K165" i="64" s="1"/>
  <c r="K226" i="64" s="1"/>
  <c r="K193" i="64"/>
  <c r="K197" i="64" s="1"/>
  <c r="K228" i="64" s="1"/>
  <c r="I14" i="65"/>
  <c r="E203" i="64"/>
  <c r="E207" i="64"/>
  <c r="E209" i="64" s="1"/>
  <c r="I203" i="64"/>
  <c r="I233" i="64" s="1"/>
  <c r="I207" i="64"/>
  <c r="I209" i="64" s="1"/>
  <c r="I234" i="64" s="1"/>
  <c r="G203" i="64"/>
  <c r="G233" i="64" s="1"/>
  <c r="G207" i="64"/>
  <c r="G209" i="64" s="1"/>
  <c r="G234" i="64" s="1"/>
  <c r="K203" i="64"/>
  <c r="K233" i="64" s="1"/>
  <c r="K207" i="64"/>
  <c r="K209" i="64" s="1"/>
  <c r="K234" i="64" s="1"/>
  <c r="H207" i="64"/>
  <c r="H209" i="64" s="1"/>
  <c r="H234" i="64" s="1"/>
  <c r="H203" i="64"/>
  <c r="H233" i="64" s="1"/>
  <c r="M26" i="87" s="1"/>
  <c r="F207" i="64"/>
  <c r="F209" i="64" s="1"/>
  <c r="F234" i="64" s="1"/>
  <c r="F203" i="64"/>
  <c r="F233" i="64" s="1"/>
  <c r="J207" i="64"/>
  <c r="J209" i="64" s="1"/>
  <c r="J234" i="64" s="1"/>
  <c r="J203" i="64"/>
  <c r="J233" i="64" s="1"/>
  <c r="F15" i="65"/>
  <c r="F17" i="65"/>
  <c r="F18" i="65"/>
  <c r="F19" i="65"/>
  <c r="H14" i="50" l="1"/>
  <c r="H14" i="84" s="1"/>
  <c r="M239" i="64"/>
  <c r="M242" i="64" s="1"/>
  <c r="M241" i="64" s="1"/>
  <c r="G14" i="50"/>
  <c r="G14" i="84" s="1"/>
  <c r="D14" i="50"/>
  <c r="D14" i="84" s="1"/>
  <c r="K75" i="87" s="1"/>
  <c r="I14" i="50"/>
  <c r="I14" i="84" s="1"/>
  <c r="L26" i="87"/>
  <c r="K26" i="87"/>
  <c r="K20" i="87"/>
  <c r="K191" i="87" s="1"/>
  <c r="L20" i="87"/>
  <c r="L191" i="87" s="1"/>
  <c r="M346" i="87"/>
  <c r="M222" i="87"/>
  <c r="E14" i="50"/>
  <c r="E14" i="84" s="1"/>
  <c r="L75" i="87" s="1"/>
  <c r="M20" i="87"/>
  <c r="M344" i="87"/>
  <c r="J10" i="3"/>
  <c r="J13" i="3" s="1"/>
  <c r="J17" i="3" s="1"/>
  <c r="J24" i="3" s="1"/>
  <c r="J25" i="50"/>
  <c r="I25" i="84"/>
  <c r="K10" i="3"/>
  <c r="K13" i="3" s="1"/>
  <c r="K17" i="3" s="1"/>
  <c r="K24" i="3" s="1"/>
  <c r="M246" i="64"/>
  <c r="M250" i="64" s="1"/>
  <c r="M257" i="64" s="1"/>
  <c r="L239" i="64"/>
  <c r="L242" i="64" s="1"/>
  <c r="D54" i="76"/>
  <c r="F54" i="76" s="1"/>
  <c r="E54" i="76" s="1"/>
  <c r="B55" i="76"/>
  <c r="H55" i="76" s="1"/>
  <c r="E88" i="64"/>
  <c r="G215" i="64"/>
  <c r="G220" i="64" s="1"/>
  <c r="G88" i="64"/>
  <c r="K215" i="64"/>
  <c r="K220" i="64" s="1"/>
  <c r="K88" i="64"/>
  <c r="H215" i="64"/>
  <c r="H220" i="64" s="1"/>
  <c r="H88" i="64"/>
  <c r="F215" i="64"/>
  <c r="F220" i="64" s="1"/>
  <c r="F88" i="64"/>
  <c r="I88" i="64"/>
  <c r="J215" i="64"/>
  <c r="J220" i="64" s="1"/>
  <c r="J88" i="64"/>
  <c r="J14" i="65"/>
  <c r="F20" i="65"/>
  <c r="K17" i="87" l="1"/>
  <c r="K345" i="87" s="1"/>
  <c r="L17" i="87"/>
  <c r="L345" i="87" s="1"/>
  <c r="M223" i="87"/>
  <c r="K10" i="85"/>
  <c r="K13" i="85" s="1"/>
  <c r="K17" i="85" s="1"/>
  <c r="K24" i="85" s="1"/>
  <c r="I5" i="86" s="1"/>
  <c r="I6" i="86" s="1"/>
  <c r="J10" i="85"/>
  <c r="J13" i="85" s="1"/>
  <c r="J17" i="85" s="1"/>
  <c r="J24" i="85" s="1"/>
  <c r="H5" i="86" s="1"/>
  <c r="H6" i="86" s="1"/>
  <c r="M17" i="87"/>
  <c r="M345" i="87" s="1"/>
  <c r="M191" i="87"/>
  <c r="K25" i="50"/>
  <c r="J25" i="84"/>
  <c r="J30" i="50"/>
  <c r="J31" i="50" s="1"/>
  <c r="K346" i="87"/>
  <c r="K222" i="87"/>
  <c r="K223" i="87" s="1"/>
  <c r="L346" i="87"/>
  <c r="L222" i="87"/>
  <c r="L223" i="87" s="1"/>
  <c r="K26" i="3"/>
  <c r="K28" i="3" s="1"/>
  <c r="L246" i="64"/>
  <c r="L250" i="64" s="1"/>
  <c r="L257" i="64" s="1"/>
  <c r="L241" i="64"/>
  <c r="J26" i="3"/>
  <c r="I15" i="65"/>
  <c r="J15" i="65" s="1"/>
  <c r="K15" i="65" s="1"/>
  <c r="L15" i="65" s="1"/>
  <c r="I17" i="65"/>
  <c r="J17" i="65" s="1"/>
  <c r="K17" i="65" s="1"/>
  <c r="L17" i="65" s="1"/>
  <c r="I19" i="65"/>
  <c r="J19" i="65" s="1"/>
  <c r="I18" i="65"/>
  <c r="J18" i="65" s="1"/>
  <c r="K18" i="65" s="1"/>
  <c r="L18" i="65" s="1"/>
  <c r="G20" i="65"/>
  <c r="G22" i="65" s="1"/>
  <c r="G24" i="65" s="1"/>
  <c r="F236" i="64" s="1"/>
  <c r="K24" i="87" s="1"/>
  <c r="B56" i="76"/>
  <c r="H56" i="76" s="1"/>
  <c r="D55" i="76"/>
  <c r="F55" i="76" s="1"/>
  <c r="E55" i="76" s="1"/>
  <c r="C6" i="3"/>
  <c r="G6" i="3"/>
  <c r="I6" i="3"/>
  <c r="H6" i="3"/>
  <c r="D6" i="3"/>
  <c r="F6" i="3"/>
  <c r="E6" i="3"/>
  <c r="K14" i="65"/>
  <c r="F22" i="65"/>
  <c r="F24" i="65" s="1"/>
  <c r="C8" i="3" l="1"/>
  <c r="C6" i="85"/>
  <c r="C8" i="85" s="1"/>
  <c r="E8" i="3"/>
  <c r="E26" i="50" s="1"/>
  <c r="E26" i="84" s="1"/>
  <c r="E6" i="85"/>
  <c r="E8" i="85" s="1"/>
  <c r="F8" i="3"/>
  <c r="F26" i="50" s="1"/>
  <c r="F26" i="84" s="1"/>
  <c r="F6" i="85"/>
  <c r="F8" i="85" s="1"/>
  <c r="K25" i="84"/>
  <c r="K30" i="50"/>
  <c r="K31" i="50" s="1"/>
  <c r="D8" i="3"/>
  <c r="D26" i="50" s="1"/>
  <c r="D26" i="84" s="1"/>
  <c r="D6" i="85"/>
  <c r="D8" i="85" s="1"/>
  <c r="H8" i="3"/>
  <c r="H26" i="50" s="1"/>
  <c r="H26" i="84" s="1"/>
  <c r="H6" i="85"/>
  <c r="H8" i="85" s="1"/>
  <c r="F4" i="86" s="1"/>
  <c r="H12" i="86"/>
  <c r="J30" i="84"/>
  <c r="G8" i="3"/>
  <c r="G26" i="50" s="1"/>
  <c r="G26" i="84" s="1"/>
  <c r="G6" i="85"/>
  <c r="G8" i="85" s="1"/>
  <c r="E4" i="86" s="1"/>
  <c r="K35" i="50"/>
  <c r="K35" i="84" s="1"/>
  <c r="K30" i="3"/>
  <c r="K34" i="3" s="1"/>
  <c r="J16" i="50"/>
  <c r="J16" i="84" s="1"/>
  <c r="J26" i="85"/>
  <c r="J28" i="85" s="1"/>
  <c r="J30" i="85" s="1"/>
  <c r="J34" i="85" s="1"/>
  <c r="I8" i="3"/>
  <c r="I26" i="50" s="1"/>
  <c r="I26" i="84" s="1"/>
  <c r="I6" i="85"/>
  <c r="I8" i="85" s="1"/>
  <c r="G4" i="86" s="1"/>
  <c r="J28" i="3"/>
  <c r="K16" i="50"/>
  <c r="K16" i="84" s="1"/>
  <c r="K26" i="85"/>
  <c r="K28" i="85" s="1"/>
  <c r="K30" i="85" s="1"/>
  <c r="K34" i="85" s="1"/>
  <c r="H20" i="65"/>
  <c r="H22" i="65" s="1"/>
  <c r="H24" i="65" s="1"/>
  <c r="G236" i="64" s="1"/>
  <c r="L24" i="87" s="1"/>
  <c r="K19" i="65"/>
  <c r="L19" i="65" s="1"/>
  <c r="J20" i="65"/>
  <c r="I20" i="65"/>
  <c r="B57" i="76"/>
  <c r="H57" i="76" s="1"/>
  <c r="D56" i="76"/>
  <c r="F56" i="76" s="1"/>
  <c r="E56" i="76" s="1"/>
  <c r="B4" i="75"/>
  <c r="L14" i="65"/>
  <c r="B12" i="75" l="1"/>
  <c r="D12" i="75"/>
  <c r="F12" i="75"/>
  <c r="D4" i="75"/>
  <c r="L7" i="87"/>
  <c r="L10" i="87" s="1"/>
  <c r="C4" i="86"/>
  <c r="L124" i="87"/>
  <c r="C12" i="86"/>
  <c r="E30" i="84"/>
  <c r="F4" i="75"/>
  <c r="K7" i="87"/>
  <c r="K10" i="87" s="1"/>
  <c r="B4" i="86"/>
  <c r="J7" i="87"/>
  <c r="J10" i="87" s="1"/>
  <c r="I12" i="86"/>
  <c r="K30" i="84"/>
  <c r="E4" i="75"/>
  <c r="E12" i="75"/>
  <c r="F12" i="86"/>
  <c r="H30" i="84"/>
  <c r="C12" i="75"/>
  <c r="K124" i="87"/>
  <c r="D30" i="84"/>
  <c r="B12" i="86"/>
  <c r="G30" i="84"/>
  <c r="E12" i="86"/>
  <c r="M7" i="87"/>
  <c r="M10" i="87" s="1"/>
  <c r="D4" i="86"/>
  <c r="F30" i="84"/>
  <c r="M124" i="87"/>
  <c r="D12" i="86"/>
  <c r="C4" i="75"/>
  <c r="J30" i="3"/>
  <c r="J34" i="3" s="1"/>
  <c r="J35" i="50"/>
  <c r="H13" i="86"/>
  <c r="H14" i="86" s="1"/>
  <c r="H8" i="86"/>
  <c r="I13" i="86"/>
  <c r="I8" i="86"/>
  <c r="I30" i="84"/>
  <c r="G12" i="86"/>
  <c r="G12" i="75"/>
  <c r="G4" i="75"/>
  <c r="K20" i="65"/>
  <c r="L20" i="65"/>
  <c r="L22" i="65" s="1"/>
  <c r="B58" i="76"/>
  <c r="H58" i="76" s="1"/>
  <c r="D57" i="76"/>
  <c r="I22" i="65"/>
  <c r="I24" i="65" s="1"/>
  <c r="H236" i="64" s="1"/>
  <c r="M24" i="87" s="1"/>
  <c r="M321" i="87" l="1"/>
  <c r="M203" i="87"/>
  <c r="M338" i="87"/>
  <c r="M292" i="87"/>
  <c r="M343" i="87"/>
  <c r="M251" i="87"/>
  <c r="M147" i="87"/>
  <c r="I14" i="86"/>
  <c r="J342" i="87"/>
  <c r="J13" i="87"/>
  <c r="J251" i="87"/>
  <c r="J338" i="87"/>
  <c r="K251" i="87"/>
  <c r="K338" i="87"/>
  <c r="K343" i="87"/>
  <c r="K292" i="87"/>
  <c r="K203" i="87"/>
  <c r="K321" i="87"/>
  <c r="K147" i="87"/>
  <c r="L338" i="87"/>
  <c r="L251" i="87"/>
  <c r="L292" i="87"/>
  <c r="L203" i="87"/>
  <c r="L343" i="87"/>
  <c r="L147" i="87"/>
  <c r="L321" i="87"/>
  <c r="M342" i="87"/>
  <c r="M13" i="87"/>
  <c r="L342" i="87"/>
  <c r="L13" i="87"/>
  <c r="K342" i="87"/>
  <c r="K13" i="87"/>
  <c r="J35" i="84"/>
  <c r="F57" i="76"/>
  <c r="B61" i="76"/>
  <c r="D58" i="76"/>
  <c r="F58" i="76" s="1"/>
  <c r="E58" i="76" s="1"/>
  <c r="J22" i="65"/>
  <c r="J24" i="65" s="1"/>
  <c r="I236" i="64" s="1"/>
  <c r="L204" i="87" l="1"/>
  <c r="M241" i="87"/>
  <c r="M295" i="87"/>
  <c r="M296" i="87" s="1"/>
  <c r="M280" i="87" s="1"/>
  <c r="M169" i="87"/>
  <c r="M312" i="87" s="1"/>
  <c r="M217" i="87"/>
  <c r="M328" i="87"/>
  <c r="M335" i="87"/>
  <c r="M248" i="87"/>
  <c r="K217" i="87"/>
  <c r="K241" i="87"/>
  <c r="K328" i="87"/>
  <c r="K169" i="87"/>
  <c r="K295" i="87"/>
  <c r="K296" i="87" s="1"/>
  <c r="K280" i="87" s="1"/>
  <c r="K248" i="87"/>
  <c r="K335" i="87"/>
  <c r="L328" i="87"/>
  <c r="L241" i="87"/>
  <c r="L169" i="87"/>
  <c r="L312" i="87" s="1"/>
  <c r="L217" i="87"/>
  <c r="L295" i="87"/>
  <c r="L296" i="87" s="1"/>
  <c r="L280" i="87" s="1"/>
  <c r="L248" i="87"/>
  <c r="L335" i="87"/>
  <c r="K341" i="87"/>
  <c r="K14" i="87"/>
  <c r="K301" i="87"/>
  <c r="M287" i="87"/>
  <c r="K250" i="87"/>
  <c r="K337" i="87"/>
  <c r="K313" i="87"/>
  <c r="J301" i="87"/>
  <c r="K287" i="87"/>
  <c r="J341" i="87"/>
  <c r="J204" i="87"/>
  <c r="J310" i="87"/>
  <c r="J287" i="87"/>
  <c r="J14" i="87"/>
  <c r="L287" i="87"/>
  <c r="J250" i="87"/>
  <c r="J313" i="87"/>
  <c r="J337" i="87"/>
  <c r="M204" i="87"/>
  <c r="M301" i="87"/>
  <c r="M341" i="87"/>
  <c r="M310" i="87"/>
  <c r="M250" i="87"/>
  <c r="M337" i="87"/>
  <c r="M313" i="87"/>
  <c r="K204" i="87"/>
  <c r="M14" i="87"/>
  <c r="L301" i="87"/>
  <c r="L14" i="87"/>
  <c r="L341" i="87"/>
  <c r="L337" i="87"/>
  <c r="L250" i="87"/>
  <c r="L313" i="87"/>
  <c r="D59" i="76"/>
  <c r="B62" i="76"/>
  <c r="H62" i="76" s="1"/>
  <c r="D61" i="76"/>
  <c r="F61" i="76" s="1"/>
  <c r="E61" i="76" s="1"/>
  <c r="E57" i="76"/>
  <c r="E59" i="76" s="1"/>
  <c r="F59" i="76"/>
  <c r="K22" i="65"/>
  <c r="K24" i="65" s="1"/>
  <c r="J236" i="64" s="1"/>
  <c r="K310" i="87" l="1"/>
  <c r="K312" i="87"/>
  <c r="L310" i="87"/>
  <c r="D62" i="76"/>
  <c r="F62" i="76" s="1"/>
  <c r="E62" i="76" s="1"/>
  <c r="B63" i="76"/>
  <c r="H63" i="76" s="1"/>
  <c r="L24" i="65"/>
  <c r="K236" i="64" s="1"/>
  <c r="D63" i="76" l="1"/>
  <c r="F63" i="76" s="1"/>
  <c r="E63" i="76" s="1"/>
  <c r="B64" i="76"/>
  <c r="H64" i="76" s="1"/>
  <c r="H34" i="10"/>
  <c r="H33" i="10"/>
  <c r="H32" i="10"/>
  <c r="H31" i="10"/>
  <c r="H30" i="10"/>
  <c r="H29" i="10"/>
  <c r="H28" i="10"/>
  <c r="B65" i="76" l="1"/>
  <c r="H65" i="76" s="1"/>
  <c r="D64" i="76"/>
  <c r="F64" i="76" s="1"/>
  <c r="E64" i="76" s="1"/>
  <c r="H43" i="10"/>
  <c r="D65" i="76" l="1"/>
  <c r="F65" i="76" s="1"/>
  <c r="E65" i="76" s="1"/>
  <c r="B66" i="76"/>
  <c r="H66" i="76" s="1"/>
  <c r="H6" i="10"/>
  <c r="B67" i="76" l="1"/>
  <c r="H67" i="76" s="1"/>
  <c r="D66" i="76"/>
  <c r="F66" i="76" s="1"/>
  <c r="E66" i="76" s="1"/>
  <c r="F6" i="69"/>
  <c r="E9" i="70"/>
  <c r="B68" i="76" l="1"/>
  <c r="H68" i="76" s="1"/>
  <c r="D67" i="76"/>
  <c r="F67" i="76" s="1"/>
  <c r="E67" i="76" s="1"/>
  <c r="H6" i="69"/>
  <c r="I6" i="69" s="1"/>
  <c r="B22" i="70"/>
  <c r="E22" i="70" s="1"/>
  <c r="J9" i="70"/>
  <c r="D68" i="76" l="1"/>
  <c r="F68" i="76" s="1"/>
  <c r="E68" i="76" s="1"/>
  <c r="B69" i="76"/>
  <c r="H69" i="76" s="1"/>
  <c r="B35" i="70"/>
  <c r="E35" i="70" s="1"/>
  <c r="J6" i="69"/>
  <c r="B70" i="76" l="1"/>
  <c r="H70" i="76" s="1"/>
  <c r="D69" i="76"/>
  <c r="F69" i="76" s="1"/>
  <c r="E69" i="76" s="1"/>
  <c r="I22" i="70"/>
  <c r="B48" i="70"/>
  <c r="E48" i="70" s="1"/>
  <c r="H18" i="51"/>
  <c r="I18" i="51" s="1"/>
  <c r="J18" i="51" s="1"/>
  <c r="H11" i="51"/>
  <c r="B71" i="76" l="1"/>
  <c r="H71" i="76" s="1"/>
  <c r="D70" i="76"/>
  <c r="F70" i="76" s="1"/>
  <c r="E70" i="76" s="1"/>
  <c r="K18" i="51"/>
  <c r="M18" i="51" s="1"/>
  <c r="L18" i="51"/>
  <c r="F35" i="70"/>
  <c r="J22" i="70"/>
  <c r="H48" i="70"/>
  <c r="B61" i="70"/>
  <c r="E61" i="70" s="1"/>
  <c r="I11" i="51"/>
  <c r="I12" i="51" s="1"/>
  <c r="I14" i="51" s="1"/>
  <c r="I16" i="51" s="1"/>
  <c r="I17" i="51" s="1"/>
  <c r="I19" i="51" s="1"/>
  <c r="G235" i="64" s="1"/>
  <c r="L25" i="87" s="1"/>
  <c r="H12" i="51"/>
  <c r="H14" i="51" s="1"/>
  <c r="H16" i="51" s="1"/>
  <c r="H17" i="51" s="1"/>
  <c r="H19" i="51" s="1"/>
  <c r="F235" i="64" s="1"/>
  <c r="K25" i="87" s="1"/>
  <c r="G14" i="51"/>
  <c r="G16" i="51" s="1"/>
  <c r="G17" i="51" s="1"/>
  <c r="G19" i="51" s="1"/>
  <c r="C10" i="3" s="1"/>
  <c r="C13" i="3" l="1"/>
  <c r="C10" i="85"/>
  <c r="C13" i="85" s="1"/>
  <c r="B72" i="76"/>
  <c r="H72" i="76" s="1"/>
  <c r="D71" i="76"/>
  <c r="J11" i="51"/>
  <c r="L11" i="51" s="1"/>
  <c r="L12" i="51" s="1"/>
  <c r="L14" i="51" s="1"/>
  <c r="L16" i="51" s="1"/>
  <c r="L17" i="51" s="1"/>
  <c r="L19" i="51" s="1"/>
  <c r="J235" i="64" s="1"/>
  <c r="E239" i="64"/>
  <c r="E242" i="64" s="1"/>
  <c r="E10" i="3"/>
  <c r="G239" i="64"/>
  <c r="G242" i="64" s="1"/>
  <c r="D10" i="3"/>
  <c r="F239" i="64"/>
  <c r="F242" i="64" s="1"/>
  <c r="I35" i="70"/>
  <c r="B74" i="70"/>
  <c r="E74" i="70" s="1"/>
  <c r="H61" i="70"/>
  <c r="K11" i="51"/>
  <c r="K12" i="51" s="1"/>
  <c r="K14" i="51" s="1"/>
  <c r="K16" i="51" s="1"/>
  <c r="K17" i="51" s="1"/>
  <c r="K19" i="51" s="1"/>
  <c r="I235" i="64" s="1"/>
  <c r="J12" i="51"/>
  <c r="J14" i="51" s="1"/>
  <c r="J16" i="51" s="1"/>
  <c r="J17" i="51" s="1"/>
  <c r="J19" i="51" s="1"/>
  <c r="H235" i="64" s="1"/>
  <c r="M25" i="87" s="1"/>
  <c r="M11" i="51"/>
  <c r="E13" i="3" l="1"/>
  <c r="E10" i="85"/>
  <c r="E13" i="85" s="1"/>
  <c r="D13" i="3"/>
  <c r="D10" i="85"/>
  <c r="D13" i="85" s="1"/>
  <c r="F71" i="76"/>
  <c r="D72" i="76"/>
  <c r="F72" i="76" s="1"/>
  <c r="E72" i="76" s="1"/>
  <c r="B75" i="76"/>
  <c r="H75" i="76" s="1"/>
  <c r="H10" i="3"/>
  <c r="J239" i="64"/>
  <c r="J242" i="64" s="1"/>
  <c r="J241" i="64" s="1"/>
  <c r="E246" i="64"/>
  <c r="E241" i="64"/>
  <c r="F10" i="3"/>
  <c r="H239" i="64"/>
  <c r="H242" i="64" s="1"/>
  <c r="G10" i="3"/>
  <c r="I239" i="64"/>
  <c r="I242" i="64" s="1"/>
  <c r="F246" i="64"/>
  <c r="F241" i="64"/>
  <c r="G241" i="64"/>
  <c r="G246" i="64"/>
  <c r="F48" i="70"/>
  <c r="J35" i="70"/>
  <c r="H74" i="70"/>
  <c r="B87" i="70"/>
  <c r="E87" i="70" s="1"/>
  <c r="M12" i="51"/>
  <c r="M14" i="51" s="1"/>
  <c r="M16" i="51" s="1"/>
  <c r="M17" i="51" s="1"/>
  <c r="M19" i="51" s="1"/>
  <c r="K235" i="64" s="1"/>
  <c r="G13" i="3" l="1"/>
  <c r="G10" i="85"/>
  <c r="G13" i="85" s="1"/>
  <c r="F13" i="3"/>
  <c r="F10" i="85"/>
  <c r="F13" i="85" s="1"/>
  <c r="H13" i="3"/>
  <c r="H10" i="85"/>
  <c r="H13" i="85" s="1"/>
  <c r="J246" i="64"/>
  <c r="D73" i="76"/>
  <c r="D75" i="76"/>
  <c r="F75" i="76" s="1"/>
  <c r="E75" i="76" s="1"/>
  <c r="B76" i="76"/>
  <c r="H76" i="76" s="1"/>
  <c r="E71" i="76"/>
  <c r="E73" i="76" s="1"/>
  <c r="F73" i="76"/>
  <c r="H246" i="64"/>
  <c r="H241" i="64"/>
  <c r="I10" i="3"/>
  <c r="K239" i="64"/>
  <c r="K242" i="64" s="1"/>
  <c r="I241" i="64"/>
  <c r="I246" i="64"/>
  <c r="H87" i="70"/>
  <c r="B100" i="70"/>
  <c r="E100" i="70" s="1"/>
  <c r="H100" i="70" s="1"/>
  <c r="I48" i="70"/>
  <c r="C37" i="50"/>
  <c r="G37" i="50" s="1"/>
  <c r="H37" i="50" s="1"/>
  <c r="I37" i="50" s="1"/>
  <c r="I13" i="3" l="1"/>
  <c r="I10" i="85"/>
  <c r="I13" i="85" s="1"/>
  <c r="D76" i="76"/>
  <c r="F76" i="76" s="1"/>
  <c r="E76" i="76" s="1"/>
  <c r="B77" i="76"/>
  <c r="H77" i="76" s="1"/>
  <c r="K246" i="64"/>
  <c r="K241" i="64"/>
  <c r="F61" i="70"/>
  <c r="J48" i="70"/>
  <c r="D77" i="76" l="1"/>
  <c r="F77" i="76" s="1"/>
  <c r="E77" i="76" s="1"/>
  <c r="B78" i="76"/>
  <c r="H78" i="76" s="1"/>
  <c r="I61" i="70"/>
  <c r="H17" i="10"/>
  <c r="D78" i="76" l="1"/>
  <c r="F78" i="76" s="1"/>
  <c r="E78" i="76" s="1"/>
  <c r="B79" i="76"/>
  <c r="H79" i="76" s="1"/>
  <c r="H5" i="10"/>
  <c r="F5" i="69" s="1"/>
  <c r="H5" i="69" s="1"/>
  <c r="F74" i="70"/>
  <c r="J61" i="70"/>
  <c r="B80" i="76" l="1"/>
  <c r="H80" i="76" s="1"/>
  <c r="D79" i="76"/>
  <c r="F79" i="76" s="1"/>
  <c r="I74" i="70"/>
  <c r="E7" i="70"/>
  <c r="I5" i="69"/>
  <c r="E79" i="76" l="1"/>
  <c r="D80" i="76"/>
  <c r="F80" i="76" s="1"/>
  <c r="E80" i="76" s="1"/>
  <c r="B81" i="76"/>
  <c r="H81" i="76" s="1"/>
  <c r="F87" i="70"/>
  <c r="J74" i="70"/>
  <c r="B20" i="70"/>
  <c r="J7" i="70"/>
  <c r="J5" i="69"/>
  <c r="G128" i="44"/>
  <c r="G15" i="50" s="1"/>
  <c r="G10" i="50" s="1"/>
  <c r="G114" i="44"/>
  <c r="F15" i="50" s="1"/>
  <c r="F10" i="50" s="1"/>
  <c r="B82" i="76" l="1"/>
  <c r="H82" i="76" s="1"/>
  <c r="D81" i="76"/>
  <c r="F81" i="76" s="1"/>
  <c r="E81" i="76" s="1"/>
  <c r="I87" i="70"/>
  <c r="E20" i="70"/>
  <c r="G40" i="44"/>
  <c r="G39" i="44"/>
  <c r="G38" i="44"/>
  <c r="G37" i="44"/>
  <c r="G36" i="44"/>
  <c r="G35" i="44"/>
  <c r="G34" i="44"/>
  <c r="G33" i="44"/>
  <c r="G32" i="44"/>
  <c r="G29" i="44"/>
  <c r="G28" i="44"/>
  <c r="G27" i="44"/>
  <c r="G26" i="44"/>
  <c r="G25" i="44"/>
  <c r="G24" i="44"/>
  <c r="G23" i="44"/>
  <c r="G22" i="44"/>
  <c r="B83" i="76" l="1"/>
  <c r="H83" i="76" s="1"/>
  <c r="D82" i="76"/>
  <c r="F82" i="76" s="1"/>
  <c r="E82" i="76" s="1"/>
  <c r="F100" i="70"/>
  <c r="J87" i="70"/>
  <c r="B33" i="70"/>
  <c r="J20" i="70"/>
  <c r="G30" i="44"/>
  <c r="G72" i="44"/>
  <c r="D31" i="3" s="1"/>
  <c r="G86" i="44"/>
  <c r="D15" i="50" s="1"/>
  <c r="D10" i="50" s="1"/>
  <c r="G100" i="44"/>
  <c r="E15" i="50" s="1"/>
  <c r="E10" i="50" s="1"/>
  <c r="G58" i="44"/>
  <c r="G44" i="44"/>
  <c r="D83" i="76" l="1"/>
  <c r="F83" i="76" s="1"/>
  <c r="E83" i="76" s="1"/>
  <c r="B84" i="76"/>
  <c r="H84" i="76" s="1"/>
  <c r="I100" i="70"/>
  <c r="E33" i="70"/>
  <c r="H7" i="10"/>
  <c r="B85" i="76" l="1"/>
  <c r="H85" i="76" s="1"/>
  <c r="D84" i="76"/>
  <c r="F84" i="76" s="1"/>
  <c r="E84" i="76" s="1"/>
  <c r="F7" i="69"/>
  <c r="J100" i="70"/>
  <c r="B46" i="70"/>
  <c r="J33" i="70"/>
  <c r="B86" i="76" l="1"/>
  <c r="H86" i="76" s="1"/>
  <c r="E11" i="77" s="1"/>
  <c r="E10" i="84" s="1"/>
  <c r="D85" i="76"/>
  <c r="H7" i="69"/>
  <c r="E46" i="70"/>
  <c r="L93" i="87" l="1"/>
  <c r="C9" i="86"/>
  <c r="C9" i="83"/>
  <c r="F85" i="76"/>
  <c r="D86" i="76"/>
  <c r="F86" i="76" s="1"/>
  <c r="B89" i="76"/>
  <c r="H89" i="76" s="1"/>
  <c r="I7" i="69"/>
  <c r="J7" i="69" s="1"/>
  <c r="B59" i="70"/>
  <c r="J46" i="70"/>
  <c r="H18" i="44"/>
  <c r="L270" i="87" l="1"/>
  <c r="G243" i="79"/>
  <c r="C24" i="83"/>
  <c r="E86" i="76"/>
  <c r="D89" i="76"/>
  <c r="F89" i="76" s="1"/>
  <c r="E89" i="76" s="1"/>
  <c r="B90" i="76"/>
  <c r="H90" i="76" s="1"/>
  <c r="D87" i="76"/>
  <c r="E85" i="76"/>
  <c r="F87" i="76"/>
  <c r="E59" i="70"/>
  <c r="B19" i="44"/>
  <c r="H19" i="44" s="1"/>
  <c r="D18" i="44"/>
  <c r="E32" i="78" l="1"/>
  <c r="E33" i="78" s="1"/>
  <c r="E87" i="76"/>
  <c r="D90" i="76"/>
  <c r="F90" i="76" s="1"/>
  <c r="E90" i="76" s="1"/>
  <c r="B91" i="76"/>
  <c r="H91" i="76" s="1"/>
  <c r="J59" i="70"/>
  <c r="B72" i="70"/>
  <c r="F18" i="44"/>
  <c r="B20" i="44"/>
  <c r="H20" i="44" s="1"/>
  <c r="D19" i="44"/>
  <c r="F19" i="44" s="1"/>
  <c r="E19" i="44" s="1"/>
  <c r="B92" i="76" l="1"/>
  <c r="H92" i="76" s="1"/>
  <c r="D91" i="76"/>
  <c r="F91" i="76" s="1"/>
  <c r="E91" i="76" s="1"/>
  <c r="E72" i="70"/>
  <c r="E18" i="44"/>
  <c r="D20" i="44"/>
  <c r="F20" i="44" s="1"/>
  <c r="E20" i="44" s="1"/>
  <c r="B21" i="44"/>
  <c r="B93" i="76" l="1"/>
  <c r="H93" i="76" s="1"/>
  <c r="D92" i="76"/>
  <c r="F92" i="76" s="1"/>
  <c r="E92" i="76" s="1"/>
  <c r="B85" i="70"/>
  <c r="J72" i="70"/>
  <c r="D21" i="44"/>
  <c r="F21" i="44" s="1"/>
  <c r="E21" i="44" s="1"/>
  <c r="H21" i="44"/>
  <c r="B22" i="44" s="1"/>
  <c r="B94" i="76" l="1"/>
  <c r="H94" i="76" s="1"/>
  <c r="D93" i="76"/>
  <c r="F93" i="76" s="1"/>
  <c r="E93" i="76" s="1"/>
  <c r="E85" i="70"/>
  <c r="D22" i="44"/>
  <c r="H22" i="44"/>
  <c r="B23" i="44" s="1"/>
  <c r="B95" i="76" l="1"/>
  <c r="H95" i="76" s="1"/>
  <c r="D94" i="76"/>
  <c r="F94" i="76" s="1"/>
  <c r="E94" i="76" s="1"/>
  <c r="J85" i="70"/>
  <c r="B98" i="70"/>
  <c r="H23" i="44"/>
  <c r="B24" i="44" s="1"/>
  <c r="D23" i="44"/>
  <c r="F23" i="44" s="1"/>
  <c r="E23" i="44" s="1"/>
  <c r="F22" i="44"/>
  <c r="D95" i="76" l="1"/>
  <c r="F95" i="76" s="1"/>
  <c r="E95" i="76" s="1"/>
  <c r="B96" i="76"/>
  <c r="H96" i="76" s="1"/>
  <c r="E98" i="70"/>
  <c r="E22" i="44"/>
  <c r="H24" i="44"/>
  <c r="B25" i="44" s="1"/>
  <c r="D24" i="44"/>
  <c r="F24" i="44" s="1"/>
  <c r="E24" i="44" s="1"/>
  <c r="D96" i="76" l="1"/>
  <c r="F96" i="76" s="1"/>
  <c r="E96" i="76" s="1"/>
  <c r="B97" i="76"/>
  <c r="H97" i="76" s="1"/>
  <c r="J98" i="70"/>
  <c r="H25" i="44"/>
  <c r="B26" i="44" s="1"/>
  <c r="H26" i="44" s="1"/>
  <c r="D25" i="44"/>
  <c r="F25" i="44" s="1"/>
  <c r="D97" i="76" l="1"/>
  <c r="F97" i="76" s="1"/>
  <c r="E97" i="76" s="1"/>
  <c r="B98" i="76"/>
  <c r="H98" i="76" s="1"/>
  <c r="E25" i="44"/>
  <c r="B27" i="44"/>
  <c r="H27" i="44" s="1"/>
  <c r="D26" i="44"/>
  <c r="F26" i="44" s="1"/>
  <c r="E26" i="44" s="1"/>
  <c r="B99" i="76" l="1"/>
  <c r="H99" i="76" s="1"/>
  <c r="D98" i="76"/>
  <c r="F98" i="76" s="1"/>
  <c r="E98" i="76" s="1"/>
  <c r="B28" i="44"/>
  <c r="H28" i="44" s="1"/>
  <c r="D27" i="44"/>
  <c r="F27" i="44" s="1"/>
  <c r="B100" i="76" l="1"/>
  <c r="H100" i="76" s="1"/>
  <c r="F11" i="77" s="1"/>
  <c r="F10" i="84" s="1"/>
  <c r="D99" i="76"/>
  <c r="E27" i="44"/>
  <c r="D28" i="44"/>
  <c r="F28" i="44" s="1"/>
  <c r="E28" i="44" s="1"/>
  <c r="B29" i="44"/>
  <c r="H29" i="44" s="1"/>
  <c r="M93" i="87" l="1"/>
  <c r="D9" i="86"/>
  <c r="D9" i="83"/>
  <c r="F99" i="76"/>
  <c r="D100" i="76"/>
  <c r="F100" i="76" s="1"/>
  <c r="E100" i="76" s="1"/>
  <c r="B103" i="76"/>
  <c r="H103" i="76" s="1"/>
  <c r="D29" i="44"/>
  <c r="M270" i="87" l="1"/>
  <c r="D24" i="83"/>
  <c r="D101" i="76"/>
  <c r="D103" i="76"/>
  <c r="F103" i="76" s="1"/>
  <c r="E103" i="76" s="1"/>
  <c r="B104" i="76"/>
  <c r="H104" i="76" s="1"/>
  <c r="E99" i="76"/>
  <c r="E101" i="76" s="1"/>
  <c r="F101" i="76"/>
  <c r="H243" i="79" s="1"/>
  <c r="F20" i="78" s="1"/>
  <c r="B32" i="44"/>
  <c r="F29" i="44"/>
  <c r="D30" i="44"/>
  <c r="F32" i="78" l="1"/>
  <c r="F33" i="78" s="1"/>
  <c r="B105" i="76"/>
  <c r="H105" i="76" s="1"/>
  <c r="D104" i="76"/>
  <c r="F104" i="76" s="1"/>
  <c r="E104" i="76" s="1"/>
  <c r="H32" i="44"/>
  <c r="B33" i="44" s="1"/>
  <c r="H33" i="44" s="1"/>
  <c r="D32" i="44"/>
  <c r="E29" i="44"/>
  <c r="E30" i="44" s="1"/>
  <c r="F30" i="44"/>
  <c r="D105" i="76" l="1"/>
  <c r="F105" i="76" s="1"/>
  <c r="E105" i="76" s="1"/>
  <c r="B106" i="76"/>
  <c r="H106" i="76" s="1"/>
  <c r="B34" i="44"/>
  <c r="H34" i="44" s="1"/>
  <c r="F32" i="44"/>
  <c r="E32" i="44" s="1"/>
  <c r="D33" i="44"/>
  <c r="F33" i="44" s="1"/>
  <c r="E33" i="44" s="1"/>
  <c r="D106" i="76" l="1"/>
  <c r="F106" i="76" s="1"/>
  <c r="E106" i="76" s="1"/>
  <c r="B107" i="76"/>
  <c r="H107" i="76" s="1"/>
  <c r="B35" i="44"/>
  <c r="H35" i="44" s="1"/>
  <c r="B36" i="44" s="1"/>
  <c r="H36" i="44" s="1"/>
  <c r="D34" i="44"/>
  <c r="D107" i="76" l="1"/>
  <c r="F107" i="76" s="1"/>
  <c r="E107" i="76" s="1"/>
  <c r="B108" i="76"/>
  <c r="H108" i="76" s="1"/>
  <c r="D35" i="44"/>
  <c r="F35" i="44" s="1"/>
  <c r="E35" i="44" s="1"/>
  <c r="F34" i="44"/>
  <c r="E34" i="44" s="1"/>
  <c r="B37" i="44"/>
  <c r="H37" i="44" s="1"/>
  <c r="D36" i="44"/>
  <c r="F36" i="44" s="1"/>
  <c r="E36" i="44" s="1"/>
  <c r="B109" i="76" l="1"/>
  <c r="H109" i="76" s="1"/>
  <c r="D108" i="76"/>
  <c r="F108" i="76" s="1"/>
  <c r="E108" i="76" s="1"/>
  <c r="B38" i="44"/>
  <c r="H38" i="44" s="1"/>
  <c r="D37" i="44"/>
  <c r="F37" i="44" s="1"/>
  <c r="D109" i="76" l="1"/>
  <c r="F109" i="76" s="1"/>
  <c r="E109" i="76" s="1"/>
  <c r="B110" i="76"/>
  <c r="H110" i="76" s="1"/>
  <c r="E37" i="44"/>
  <c r="D38" i="44"/>
  <c r="F38" i="44" s="1"/>
  <c r="E38" i="44" s="1"/>
  <c r="B39" i="44"/>
  <c r="H39" i="44" s="1"/>
  <c r="B111" i="76" l="1"/>
  <c r="H111" i="76" s="1"/>
  <c r="D110" i="76"/>
  <c r="F110" i="76" s="1"/>
  <c r="E110" i="76" s="1"/>
  <c r="B40" i="44"/>
  <c r="H40" i="44" s="1"/>
  <c r="D39" i="44"/>
  <c r="F39" i="44" s="1"/>
  <c r="E39" i="44" s="1"/>
  <c r="D111" i="76" l="1"/>
  <c r="F111" i="76" s="1"/>
  <c r="E111" i="76" s="1"/>
  <c r="B112" i="76"/>
  <c r="H112" i="76" s="1"/>
  <c r="B41" i="44"/>
  <c r="H41" i="44" s="1"/>
  <c r="D40" i="44"/>
  <c r="F40" i="44" s="1"/>
  <c r="D112" i="76" l="1"/>
  <c r="F112" i="76" s="1"/>
  <c r="E112" i="76" s="1"/>
  <c r="B113" i="76"/>
  <c r="H113" i="76" s="1"/>
  <c r="E40" i="44"/>
  <c r="B42" i="44"/>
  <c r="H42" i="44" s="1"/>
  <c r="D41" i="44"/>
  <c r="F41" i="44" s="1"/>
  <c r="E41" i="44" s="1"/>
  <c r="B114" i="76" l="1"/>
  <c r="H114" i="76" s="1"/>
  <c r="G11" i="77" s="1"/>
  <c r="G10" i="84" s="1"/>
  <c r="E9" i="86" s="1"/>
  <c r="D113" i="76"/>
  <c r="B43" i="44"/>
  <c r="H43" i="44" s="1"/>
  <c r="D42" i="44"/>
  <c r="F42" i="44" s="1"/>
  <c r="E42" i="44" s="1"/>
  <c r="E9" i="83" l="1"/>
  <c r="F113" i="76"/>
  <c r="B117" i="76"/>
  <c r="H117" i="76" s="1"/>
  <c r="D114" i="76"/>
  <c r="F114" i="76" s="1"/>
  <c r="E114" i="76" s="1"/>
  <c r="B10" i="50"/>
  <c r="D43" i="44"/>
  <c r="E24" i="83" l="1"/>
  <c r="B118" i="76"/>
  <c r="H118" i="76" s="1"/>
  <c r="D117" i="76"/>
  <c r="F117" i="76" s="1"/>
  <c r="E117" i="76" s="1"/>
  <c r="D115" i="76"/>
  <c r="E113" i="76"/>
  <c r="E115" i="76" s="1"/>
  <c r="F115" i="76"/>
  <c r="I243" i="79" s="1"/>
  <c r="G20" i="78" s="1"/>
  <c r="B46" i="44"/>
  <c r="F43" i="44"/>
  <c r="D44" i="44"/>
  <c r="G32" i="78" l="1"/>
  <c r="G33" i="78" s="1"/>
  <c r="D118" i="76"/>
  <c r="F118" i="76" s="1"/>
  <c r="E118" i="76" s="1"/>
  <c r="B119" i="76"/>
  <c r="H119" i="76" s="1"/>
  <c r="H46" i="44"/>
  <c r="B47" i="44" s="1"/>
  <c r="H47" i="44" s="1"/>
  <c r="B48" i="44" s="1"/>
  <c r="H48" i="44" s="1"/>
  <c r="D46" i="44"/>
  <c r="F46" i="44" s="1"/>
  <c r="E43" i="44"/>
  <c r="E44" i="44" s="1"/>
  <c r="F44" i="44"/>
  <c r="B120" i="76" l="1"/>
  <c r="H120" i="76" s="1"/>
  <c r="D119" i="76"/>
  <c r="F119" i="76" s="1"/>
  <c r="E119" i="76" s="1"/>
  <c r="D47" i="44"/>
  <c r="F47" i="44" s="1"/>
  <c r="E47" i="44" s="1"/>
  <c r="E46" i="44"/>
  <c r="B49" i="44"/>
  <c r="H49" i="44" s="1"/>
  <c r="D48" i="44"/>
  <c r="D120" i="76" l="1"/>
  <c r="F120" i="76" s="1"/>
  <c r="E120" i="76" s="1"/>
  <c r="B121" i="76"/>
  <c r="H121" i="76" s="1"/>
  <c r="B50" i="44"/>
  <c r="H50" i="44" s="1"/>
  <c r="D49" i="44"/>
  <c r="F49" i="44" s="1"/>
  <c r="E49" i="44" s="1"/>
  <c r="F48" i="44"/>
  <c r="D121" i="76" l="1"/>
  <c r="F121" i="76" s="1"/>
  <c r="E121" i="76" s="1"/>
  <c r="B122" i="76"/>
  <c r="H122" i="76" s="1"/>
  <c r="D50" i="44"/>
  <c r="F50" i="44" s="1"/>
  <c r="B51" i="44"/>
  <c r="E48" i="44"/>
  <c r="B123" i="76" l="1"/>
  <c r="H123" i="76" s="1"/>
  <c r="D122" i="76"/>
  <c r="F122" i="76" s="1"/>
  <c r="E122" i="76" s="1"/>
  <c r="E50" i="44"/>
  <c r="D123" i="76" l="1"/>
  <c r="F123" i="76" s="1"/>
  <c r="E123" i="76" s="1"/>
  <c r="B124" i="76"/>
  <c r="H124" i="76" s="1"/>
  <c r="D124" i="76" l="1"/>
  <c r="F124" i="76" s="1"/>
  <c r="E124" i="76" s="1"/>
  <c r="B125" i="76"/>
  <c r="H125" i="76" s="1"/>
  <c r="G6" i="10"/>
  <c r="G7" i="10" s="1"/>
  <c r="A6" i="10"/>
  <c r="A7" i="10" s="1"/>
  <c r="B126" i="76" l="1"/>
  <c r="H126" i="76" s="1"/>
  <c r="D125" i="76"/>
  <c r="F125" i="76" s="1"/>
  <c r="E125" i="76" s="1"/>
  <c r="D126" i="76" l="1"/>
  <c r="F126" i="76" s="1"/>
  <c r="E126" i="76" s="1"/>
  <c r="B127" i="76"/>
  <c r="H127" i="76" s="1"/>
  <c r="B128" i="76" l="1"/>
  <c r="H128" i="76" s="1"/>
  <c r="D127" i="76"/>
  <c r="C34" i="50"/>
  <c r="B7" i="50"/>
  <c r="C34" i="84" l="1"/>
  <c r="F9" i="75"/>
  <c r="F24" i="75" s="1"/>
  <c r="H11" i="77"/>
  <c r="F127" i="76"/>
  <c r="D128" i="76"/>
  <c r="F128" i="76" s="1"/>
  <c r="E128" i="76" s="1"/>
  <c r="B131" i="76"/>
  <c r="H131" i="76" s="1"/>
  <c r="B18" i="50"/>
  <c r="F9" i="83" l="1"/>
  <c r="F24" i="83" s="1"/>
  <c r="H10" i="84"/>
  <c r="F9" i="86" s="1"/>
  <c r="D129" i="76"/>
  <c r="B132" i="76"/>
  <c r="H132" i="76" s="1"/>
  <c r="D131" i="76"/>
  <c r="F131" i="76" s="1"/>
  <c r="E131" i="76" s="1"/>
  <c r="E127" i="76"/>
  <c r="E129" i="76" s="1"/>
  <c r="F129" i="76"/>
  <c r="J243" i="79" s="1"/>
  <c r="H20" i="78" s="1"/>
  <c r="H32" i="78" l="1"/>
  <c r="H33" i="78" s="1"/>
  <c r="D132" i="76"/>
  <c r="F132" i="76" s="1"/>
  <c r="E132" i="76" s="1"/>
  <c r="B133" i="76"/>
  <c r="H133" i="76" s="1"/>
  <c r="H51" i="44"/>
  <c r="B52" i="44" s="1"/>
  <c r="D51" i="44"/>
  <c r="B134" i="76" l="1"/>
  <c r="H134" i="76" s="1"/>
  <c r="D133" i="76"/>
  <c r="F133" i="76" s="1"/>
  <c r="E133" i="76" s="1"/>
  <c r="D52" i="44"/>
  <c r="F52" i="44" s="1"/>
  <c r="H52" i="44"/>
  <c r="B53" i="44" s="1"/>
  <c r="F51" i="44"/>
  <c r="B135" i="76" l="1"/>
  <c r="H135" i="76" s="1"/>
  <c r="D134" i="76"/>
  <c r="F134" i="76" s="1"/>
  <c r="E134" i="76" s="1"/>
  <c r="E52" i="44"/>
  <c r="D53" i="44"/>
  <c r="F53" i="44" s="1"/>
  <c r="E53" i="44" s="1"/>
  <c r="H53" i="44"/>
  <c r="B54" i="44" s="1"/>
  <c r="E51" i="44"/>
  <c r="B136" i="76" l="1"/>
  <c r="H136" i="76" s="1"/>
  <c r="D135" i="76"/>
  <c r="F135" i="76" s="1"/>
  <c r="E135" i="76" s="1"/>
  <c r="H54" i="44"/>
  <c r="B55" i="44" s="1"/>
  <c r="D54" i="44"/>
  <c r="F54" i="44" s="1"/>
  <c r="D136" i="76" l="1"/>
  <c r="F136" i="76" s="1"/>
  <c r="E136" i="76" s="1"/>
  <c r="B137" i="76"/>
  <c r="H137" i="76" s="1"/>
  <c r="E54" i="44"/>
  <c r="D55" i="44"/>
  <c r="F55" i="44" s="1"/>
  <c r="E55" i="44" s="1"/>
  <c r="H55" i="44"/>
  <c r="B56" i="44" s="1"/>
  <c r="C17" i="70"/>
  <c r="E13" i="70"/>
  <c r="D137" i="76" l="1"/>
  <c r="F137" i="76" s="1"/>
  <c r="E137" i="76" s="1"/>
  <c r="B138" i="76"/>
  <c r="H138" i="76" s="1"/>
  <c r="J13" i="70"/>
  <c r="J17" i="70" s="1"/>
  <c r="E17" i="70"/>
  <c r="B20" i="50" s="1"/>
  <c r="B22" i="50" s="1"/>
  <c r="B30" i="50" s="1"/>
  <c r="B31" i="50" s="1"/>
  <c r="B26" i="70"/>
  <c r="H56" i="44"/>
  <c r="B57" i="44" s="1"/>
  <c r="D56" i="44"/>
  <c r="F56" i="44" s="1"/>
  <c r="B139" i="76" l="1"/>
  <c r="H139" i="76" s="1"/>
  <c r="D138" i="76"/>
  <c r="F138" i="76" s="1"/>
  <c r="E138" i="76" s="1"/>
  <c r="B30" i="70"/>
  <c r="E56" i="44"/>
  <c r="D57" i="44"/>
  <c r="H57" i="44"/>
  <c r="B140" i="76" l="1"/>
  <c r="H140" i="76" s="1"/>
  <c r="D139" i="76"/>
  <c r="F139" i="76" s="1"/>
  <c r="E139" i="76" s="1"/>
  <c r="B60" i="44"/>
  <c r="F57" i="44"/>
  <c r="D58" i="44"/>
  <c r="B141" i="76" l="1"/>
  <c r="H141" i="76" s="1"/>
  <c r="D140" i="76"/>
  <c r="F140" i="76" s="1"/>
  <c r="E140" i="76" s="1"/>
  <c r="I26" i="70"/>
  <c r="H30" i="70"/>
  <c r="E248" i="64" s="1"/>
  <c r="H60" i="44"/>
  <c r="B61" i="44" s="1"/>
  <c r="D60" i="44"/>
  <c r="E57" i="44"/>
  <c r="E58" i="44" s="1"/>
  <c r="F58" i="44"/>
  <c r="H83" i="10" s="1"/>
  <c r="H8" i="10" s="1"/>
  <c r="C20" i="3"/>
  <c r="C15" i="3" l="1"/>
  <c r="C15" i="85" s="1"/>
  <c r="C17" i="85" s="1"/>
  <c r="J27" i="87"/>
  <c r="C32" i="3"/>
  <c r="C33" i="3" s="1"/>
  <c r="C20" i="85"/>
  <c r="C52" i="81"/>
  <c r="B142" i="76"/>
  <c r="H142" i="76" s="1"/>
  <c r="I11" i="77" s="1"/>
  <c r="I10" i="84" s="1"/>
  <c r="G9" i="86" s="1"/>
  <c r="D141" i="76"/>
  <c r="H10" i="10"/>
  <c r="B13" i="20"/>
  <c r="C30" i="70"/>
  <c r="E26" i="70"/>
  <c r="J26" i="70" s="1"/>
  <c r="J30" i="70" s="1"/>
  <c r="E250" i="64"/>
  <c r="E257" i="64" s="1"/>
  <c r="D61" i="44"/>
  <c r="F61" i="44" s="1"/>
  <c r="E61" i="44" s="1"/>
  <c r="H61" i="44"/>
  <c r="B62" i="44" s="1"/>
  <c r="F60" i="44"/>
  <c r="I30" i="70"/>
  <c r="C21" i="50" s="1"/>
  <c r="F39" i="70"/>
  <c r="C17" i="3" l="1"/>
  <c r="C24" i="3" s="1"/>
  <c r="C28" i="3" s="1"/>
  <c r="J42" i="87"/>
  <c r="C32" i="85"/>
  <c r="C33" i="85" s="1"/>
  <c r="J260" i="87"/>
  <c r="J314" i="87"/>
  <c r="J28" i="87"/>
  <c r="J30" i="87" s="1"/>
  <c r="J32" i="87" s="1"/>
  <c r="C24" i="85"/>
  <c r="C28" i="85" s="1"/>
  <c r="C30" i="85" s="1"/>
  <c r="C34" i="85" s="1"/>
  <c r="G9" i="83"/>
  <c r="C56" i="81"/>
  <c r="E52" i="81"/>
  <c r="G9" i="75"/>
  <c r="G24" i="75" s="1"/>
  <c r="B145" i="76"/>
  <c r="F141" i="76"/>
  <c r="D142" i="76"/>
  <c r="F142" i="76" s="1"/>
  <c r="E142" i="76" s="1"/>
  <c r="H8" i="69"/>
  <c r="H10" i="69" s="1"/>
  <c r="B39" i="70"/>
  <c r="E30" i="70"/>
  <c r="C20" i="50" s="1"/>
  <c r="C22" i="50" s="1"/>
  <c r="C30" i="50" s="1"/>
  <c r="E60" i="44"/>
  <c r="F43" i="70"/>
  <c r="D62" i="44"/>
  <c r="H62" i="44"/>
  <c r="B63" i="44" s="1"/>
  <c r="J34" i="87" l="1"/>
  <c r="J36" i="87" s="1"/>
  <c r="J198" i="87"/>
  <c r="B65" i="81"/>
  <c r="E56" i="81"/>
  <c r="E21" i="77" s="1"/>
  <c r="G24" i="83"/>
  <c r="D145" i="76"/>
  <c r="H145" i="76"/>
  <c r="B146" i="76" s="1"/>
  <c r="D143" i="76"/>
  <c r="E141" i="76"/>
  <c r="E143" i="76" s="1"/>
  <c r="F143" i="76"/>
  <c r="K243" i="79" s="1"/>
  <c r="I20" i="78" s="1"/>
  <c r="I8" i="69"/>
  <c r="E39" i="70"/>
  <c r="B43" i="70"/>
  <c r="F62" i="44"/>
  <c r="D63" i="44"/>
  <c r="F63" i="44" s="1"/>
  <c r="E63" i="44" s="1"/>
  <c r="H63" i="44"/>
  <c r="B64" i="44" s="1"/>
  <c r="C35" i="50"/>
  <c r="C30" i="3"/>
  <c r="C34" i="3" s="1"/>
  <c r="C35" i="84" l="1"/>
  <c r="C37" i="84" s="1"/>
  <c r="C7" i="84" s="1"/>
  <c r="C38" i="50"/>
  <c r="D34" i="50" s="1"/>
  <c r="J200" i="87"/>
  <c r="J40" i="87"/>
  <c r="J37" i="87"/>
  <c r="J38" i="87" s="1"/>
  <c r="I32" i="78"/>
  <c r="I33" i="78" s="1"/>
  <c r="I10" i="69"/>
  <c r="B11" i="20" s="1"/>
  <c r="B9" i="20" s="1"/>
  <c r="E9" i="77" s="1"/>
  <c r="E65" i="81"/>
  <c r="B69" i="81"/>
  <c r="I52" i="81"/>
  <c r="H56" i="81"/>
  <c r="G238" i="79" s="1"/>
  <c r="H146" i="76"/>
  <c r="B147" i="76" s="1"/>
  <c r="D146" i="76"/>
  <c r="F146" i="76" s="1"/>
  <c r="E146" i="76" s="1"/>
  <c r="F145" i="76"/>
  <c r="J8" i="69"/>
  <c r="E43" i="70"/>
  <c r="D20" i="50" s="1"/>
  <c r="B52" i="70"/>
  <c r="D64" i="44"/>
  <c r="F64" i="44" s="1"/>
  <c r="E64" i="44" s="1"/>
  <c r="H64" i="44"/>
  <c r="B65" i="44" s="1"/>
  <c r="E62" i="44"/>
  <c r="K9" i="77" l="1"/>
  <c r="J9" i="77"/>
  <c r="E8" i="84"/>
  <c r="L95" i="87" s="1"/>
  <c r="L98" i="87" s="1"/>
  <c r="L262" i="87" s="1"/>
  <c r="C7" i="50"/>
  <c r="J311" i="87"/>
  <c r="J320" i="87"/>
  <c r="J41" i="87"/>
  <c r="J43" i="87" s="1"/>
  <c r="J54" i="87" s="1"/>
  <c r="C18" i="84"/>
  <c r="C31" i="84" s="1"/>
  <c r="J103" i="87"/>
  <c r="J109" i="87" s="1"/>
  <c r="D34" i="84"/>
  <c r="C17" i="83"/>
  <c r="G9" i="77"/>
  <c r="I9" i="77"/>
  <c r="H9" i="77"/>
  <c r="F9" i="77"/>
  <c r="F65" i="81"/>
  <c r="F69" i="81" s="1"/>
  <c r="I56" i="81"/>
  <c r="E22" i="77" s="1"/>
  <c r="E23" i="77" s="1"/>
  <c r="E31" i="77" s="1"/>
  <c r="J52" i="81"/>
  <c r="J56" i="81" s="1"/>
  <c r="E15" i="78"/>
  <c r="G240" i="79"/>
  <c r="G247" i="79" s="1"/>
  <c r="H65" i="81"/>
  <c r="B78" i="81"/>
  <c r="E69" i="81"/>
  <c r="F21" i="77" s="1"/>
  <c r="E145" i="76"/>
  <c r="D147" i="76"/>
  <c r="H147" i="76"/>
  <c r="B148" i="76" s="1"/>
  <c r="C18" i="50"/>
  <c r="C31" i="50" s="1"/>
  <c r="B56" i="70"/>
  <c r="E52" i="70"/>
  <c r="H43" i="70"/>
  <c r="F248" i="64" s="1"/>
  <c r="K27" i="87" s="1"/>
  <c r="I39" i="70"/>
  <c r="D65" i="44"/>
  <c r="F65" i="44" s="1"/>
  <c r="E65" i="44" s="1"/>
  <c r="H65" i="44"/>
  <c r="B66" i="44" s="1"/>
  <c r="D17" i="83" l="1"/>
  <c r="F8" i="84"/>
  <c r="M95" i="87" s="1"/>
  <c r="M98" i="87" s="1"/>
  <c r="M262" i="87" s="1"/>
  <c r="F17" i="83"/>
  <c r="H8" i="84"/>
  <c r="G17" i="83"/>
  <c r="I8" i="84"/>
  <c r="E17" i="83"/>
  <c r="G8" i="84"/>
  <c r="J8" i="84"/>
  <c r="H17" i="83"/>
  <c r="I17" i="83"/>
  <c r="K8" i="84"/>
  <c r="J172" i="87"/>
  <c r="J111" i="87"/>
  <c r="J170" i="87" s="1"/>
  <c r="J177" i="87" s="1"/>
  <c r="J171" i="87"/>
  <c r="J59" i="87"/>
  <c r="J302" i="87"/>
  <c r="J309" i="87" s="1"/>
  <c r="J56" i="87"/>
  <c r="J319" i="87"/>
  <c r="J323" i="87"/>
  <c r="K260" i="87"/>
  <c r="K314" i="87"/>
  <c r="K28" i="87"/>
  <c r="K30" i="87" s="1"/>
  <c r="K32" i="87" s="1"/>
  <c r="E17" i="78"/>
  <c r="E24" i="78" s="1"/>
  <c r="E26" i="78" s="1"/>
  <c r="E78" i="81"/>
  <c r="B82" i="81"/>
  <c r="I65" i="81"/>
  <c r="H69" i="81"/>
  <c r="H238" i="79" s="1"/>
  <c r="D148" i="76"/>
  <c r="F148" i="76" s="1"/>
  <c r="E148" i="76" s="1"/>
  <c r="H148" i="76"/>
  <c r="B149" i="76" s="1"/>
  <c r="F147" i="76"/>
  <c r="B17" i="75"/>
  <c r="B65" i="70"/>
  <c r="H52" i="70"/>
  <c r="H56" i="70" s="1"/>
  <c r="G248" i="64" s="1"/>
  <c r="L27" i="87" s="1"/>
  <c r="E56" i="70"/>
  <c r="E20" i="50" s="1"/>
  <c r="D15" i="3"/>
  <c r="F250" i="64"/>
  <c r="I43" i="70"/>
  <c r="D21" i="50" s="1"/>
  <c r="D22" i="50" s="1"/>
  <c r="D30" i="50" s="1"/>
  <c r="F52" i="70"/>
  <c r="J39" i="70"/>
  <c r="J43" i="70" s="1"/>
  <c r="D66" i="44"/>
  <c r="H66" i="44"/>
  <c r="B67" i="44" s="1"/>
  <c r="L28" i="87" l="1"/>
  <c r="L30" i="87" s="1"/>
  <c r="L32" i="87" s="1"/>
  <c r="L260" i="87"/>
  <c r="L314" i="87"/>
  <c r="J306" i="87"/>
  <c r="J174" i="87"/>
  <c r="J307" i="87"/>
  <c r="J175" i="87"/>
  <c r="J176" i="87"/>
  <c r="J303" i="87"/>
  <c r="J304" i="87"/>
  <c r="J269" i="87"/>
  <c r="J277" i="87" s="1"/>
  <c r="J58" i="87"/>
  <c r="J259" i="87" s="1"/>
  <c r="J267" i="87" s="1"/>
  <c r="J278" i="87" s="1"/>
  <c r="J285" i="87" s="1"/>
  <c r="J315" i="87"/>
  <c r="K34" i="87"/>
  <c r="K36" i="87" s="1"/>
  <c r="K198" i="87"/>
  <c r="D17" i="3"/>
  <c r="D15" i="85"/>
  <c r="D17" i="85" s="1"/>
  <c r="J318" i="87"/>
  <c r="J317" i="87"/>
  <c r="J316" i="87"/>
  <c r="J279" i="87"/>
  <c r="J244" i="87"/>
  <c r="J245" i="87" s="1"/>
  <c r="J249" i="87" s="1"/>
  <c r="J331" i="87"/>
  <c r="J332" i="87" s="1"/>
  <c r="J336" i="87" s="1"/>
  <c r="J246" i="87"/>
  <c r="J333" i="87"/>
  <c r="C5" i="83"/>
  <c r="C6" i="83" s="1"/>
  <c r="E17" i="77"/>
  <c r="E28" i="78"/>
  <c r="E36" i="77" s="1"/>
  <c r="F78" i="81"/>
  <c r="I69" i="81"/>
  <c r="F22" i="77" s="1"/>
  <c r="F23" i="77" s="1"/>
  <c r="F31" i="77" s="1"/>
  <c r="J65" i="81"/>
  <c r="J69" i="81" s="1"/>
  <c r="F15" i="78"/>
  <c r="H240" i="79"/>
  <c r="H247" i="79" s="1"/>
  <c r="H78" i="81"/>
  <c r="H82" i="81" s="1"/>
  <c r="I238" i="79" s="1"/>
  <c r="B91" i="81"/>
  <c r="E82" i="81"/>
  <c r="G21" i="77" s="1"/>
  <c r="E147" i="76"/>
  <c r="H149" i="76"/>
  <c r="B150" i="76" s="1"/>
  <c r="D149" i="76"/>
  <c r="G17" i="75"/>
  <c r="F17" i="75"/>
  <c r="E17" i="75"/>
  <c r="C17" i="75"/>
  <c r="D17" i="75"/>
  <c r="E15" i="3"/>
  <c r="G250" i="64"/>
  <c r="G257" i="64" s="1"/>
  <c r="I52" i="70"/>
  <c r="F56" i="70"/>
  <c r="E65" i="70"/>
  <c r="B69" i="70"/>
  <c r="F66" i="44"/>
  <c r="D67" i="44"/>
  <c r="F67" i="44" s="1"/>
  <c r="E67" i="44" s="1"/>
  <c r="H67" i="44"/>
  <c r="B68" i="44" s="1"/>
  <c r="K40" i="87" l="1"/>
  <c r="K200" i="87"/>
  <c r="K37" i="87"/>
  <c r="K38" i="87" s="1"/>
  <c r="E17" i="3"/>
  <c r="E15" i="85"/>
  <c r="E17" i="85" s="1"/>
  <c r="L198" i="87"/>
  <c r="L34" i="87"/>
  <c r="L36" i="87" s="1"/>
  <c r="C13" i="83"/>
  <c r="C14" i="83" s="1"/>
  <c r="C8" i="83"/>
  <c r="F17" i="78"/>
  <c r="F24" i="78" s="1"/>
  <c r="F26" i="78" s="1"/>
  <c r="E38" i="77"/>
  <c r="F35" i="77" s="1"/>
  <c r="E30" i="78"/>
  <c r="E34" i="78" s="1"/>
  <c r="I78" i="81"/>
  <c r="F82" i="81"/>
  <c r="E91" i="81"/>
  <c r="B95" i="81"/>
  <c r="G15" i="78"/>
  <c r="I240" i="79"/>
  <c r="I247" i="79" s="1"/>
  <c r="D5" i="83"/>
  <c r="D6" i="83" s="1"/>
  <c r="F149" i="76"/>
  <c r="D150" i="76"/>
  <c r="F150" i="76" s="1"/>
  <c r="E150" i="76" s="1"/>
  <c r="H150" i="76"/>
  <c r="B151" i="76" s="1"/>
  <c r="B78" i="70"/>
  <c r="E69" i="70"/>
  <c r="F20" i="50" s="1"/>
  <c r="H65" i="70"/>
  <c r="H69" i="70" s="1"/>
  <c r="H248" i="64" s="1"/>
  <c r="M27" i="87" s="1"/>
  <c r="F65" i="70"/>
  <c r="I56" i="70"/>
  <c r="E21" i="50" s="1"/>
  <c r="E22" i="50" s="1"/>
  <c r="E30" i="50" s="1"/>
  <c r="J52" i="70"/>
  <c r="J56" i="70" s="1"/>
  <c r="H68" i="44"/>
  <c r="B69" i="44" s="1"/>
  <c r="D68" i="44"/>
  <c r="F68" i="44" s="1"/>
  <c r="E68" i="44" s="1"/>
  <c r="E66" i="44"/>
  <c r="M28" i="87" l="1"/>
  <c r="M30" i="87" s="1"/>
  <c r="M32" i="87" s="1"/>
  <c r="M314" i="87"/>
  <c r="M260" i="87"/>
  <c r="L40" i="87"/>
  <c r="L200" i="87"/>
  <c r="L37" i="87"/>
  <c r="L38" i="87" s="1"/>
  <c r="K311" i="87"/>
  <c r="K320" i="87"/>
  <c r="K41" i="87"/>
  <c r="E7" i="77"/>
  <c r="C7" i="83" s="1"/>
  <c r="G17" i="78"/>
  <c r="G24" i="78" s="1"/>
  <c r="G26" i="78" s="1"/>
  <c r="F17" i="77"/>
  <c r="F28" i="78"/>
  <c r="F30" i="78" s="1"/>
  <c r="F34" i="78" s="1"/>
  <c r="H91" i="81"/>
  <c r="H95" i="81" s="1"/>
  <c r="J238" i="79" s="1"/>
  <c r="B104" i="81"/>
  <c r="E95" i="81"/>
  <c r="H21" i="77" s="1"/>
  <c r="E19" i="77"/>
  <c r="E32" i="77" s="1"/>
  <c r="F91" i="81"/>
  <c r="I82" i="81"/>
  <c r="G22" i="77" s="1"/>
  <c r="G23" i="77" s="1"/>
  <c r="G31" i="77" s="1"/>
  <c r="J78" i="81"/>
  <c r="J82" i="81" s="1"/>
  <c r="D151" i="76"/>
  <c r="F151" i="76" s="1"/>
  <c r="E151" i="76" s="1"/>
  <c r="H151" i="76"/>
  <c r="B152" i="76" s="1"/>
  <c r="E149" i="76"/>
  <c r="E78" i="70"/>
  <c r="B82" i="70"/>
  <c r="F15" i="3"/>
  <c r="H250" i="64"/>
  <c r="H257" i="64" s="1"/>
  <c r="F69" i="70"/>
  <c r="I65" i="70"/>
  <c r="D69" i="44"/>
  <c r="F69" i="44" s="1"/>
  <c r="E69" i="44" s="1"/>
  <c r="H69" i="44"/>
  <c r="B70" i="44" s="1"/>
  <c r="F17" i="3" l="1"/>
  <c r="F15" i="85"/>
  <c r="F17" i="85" s="1"/>
  <c r="L320" i="87"/>
  <c r="L41" i="87"/>
  <c r="L311" i="87"/>
  <c r="M34" i="87"/>
  <c r="M36" i="87" s="1"/>
  <c r="M198" i="87"/>
  <c r="D8" i="83"/>
  <c r="E5" i="83"/>
  <c r="E6" i="83" s="1"/>
  <c r="D13" i="83"/>
  <c r="D14" i="83" s="1"/>
  <c r="C16" i="83"/>
  <c r="C18" i="83" s="1"/>
  <c r="C19" i="83" s="1"/>
  <c r="C20" i="83" s="1"/>
  <c r="C22" i="83" s="1"/>
  <c r="G17" i="77"/>
  <c r="F36" i="77"/>
  <c r="G28" i="78"/>
  <c r="G30" i="78" s="1"/>
  <c r="G34" i="78" s="1"/>
  <c r="I91" i="81"/>
  <c r="F95" i="81"/>
  <c r="H15" i="78"/>
  <c r="J240" i="79"/>
  <c r="J247" i="79" s="1"/>
  <c r="E104" i="81"/>
  <c r="B108" i="81"/>
  <c r="C11" i="83"/>
  <c r="C10" i="83"/>
  <c r="D152" i="76"/>
  <c r="H152" i="76"/>
  <c r="B153" i="76" s="1"/>
  <c r="B91" i="70"/>
  <c r="H78" i="70"/>
  <c r="H82" i="70" s="1"/>
  <c r="I248" i="64" s="1"/>
  <c r="E82" i="70"/>
  <c r="G20" i="50" s="1"/>
  <c r="I69" i="70"/>
  <c r="F21" i="50" s="1"/>
  <c r="F22" i="50" s="1"/>
  <c r="F30" i="50" s="1"/>
  <c r="F78" i="70"/>
  <c r="J65" i="70"/>
  <c r="J69" i="70" s="1"/>
  <c r="H70" i="44"/>
  <c r="B71" i="44" s="1"/>
  <c r="D70" i="44"/>
  <c r="F70" i="44" s="1"/>
  <c r="E70" i="44" s="1"/>
  <c r="M37" i="87" l="1"/>
  <c r="M38" i="87" s="1"/>
  <c r="M40" i="87"/>
  <c r="M200" i="87"/>
  <c r="E8" i="83"/>
  <c r="E13" i="83"/>
  <c r="E14" i="83" s="1"/>
  <c r="H17" i="78"/>
  <c r="H24" i="78" s="1"/>
  <c r="H26" i="78" s="1"/>
  <c r="F38" i="77"/>
  <c r="G35" i="77" s="1"/>
  <c r="G36" i="77"/>
  <c r="F104" i="81"/>
  <c r="I95" i="81"/>
  <c r="H22" i="77" s="1"/>
  <c r="H23" i="77" s="1"/>
  <c r="H31" i="77" s="1"/>
  <c r="J91" i="81"/>
  <c r="J95" i="81" s="1"/>
  <c r="H104" i="81"/>
  <c r="H108" i="81" s="1"/>
  <c r="K238" i="79" s="1"/>
  <c r="E108" i="81"/>
  <c r="I21" i="77" s="1"/>
  <c r="C21" i="83"/>
  <c r="C25" i="83" s="1"/>
  <c r="C26" i="83" s="1"/>
  <c r="D153" i="76"/>
  <c r="F153" i="76" s="1"/>
  <c r="E153" i="76" s="1"/>
  <c r="H153" i="76"/>
  <c r="B154" i="76" s="1"/>
  <c r="F152" i="76"/>
  <c r="I78" i="70"/>
  <c r="F82" i="70"/>
  <c r="E91" i="70"/>
  <c r="B95" i="70"/>
  <c r="I250" i="64"/>
  <c r="I257" i="64" s="1"/>
  <c r="G15" i="3"/>
  <c r="D71" i="44"/>
  <c r="H71" i="44"/>
  <c r="M320" i="87" l="1"/>
  <c r="M41" i="87"/>
  <c r="M311" i="87"/>
  <c r="G17" i="3"/>
  <c r="G15" i="85"/>
  <c r="G17" i="85" s="1"/>
  <c r="F5" i="83"/>
  <c r="F6" i="83" s="1"/>
  <c r="H17" i="77"/>
  <c r="G38" i="77"/>
  <c r="G7" i="77" s="1"/>
  <c r="F7" i="77"/>
  <c r="H28" i="78"/>
  <c r="H36" i="77" s="1"/>
  <c r="C23" i="83"/>
  <c r="I15" i="78"/>
  <c r="K240" i="79"/>
  <c r="K247" i="79" s="1"/>
  <c r="I104" i="81"/>
  <c r="F108" i="81"/>
  <c r="E152" i="76"/>
  <c r="H154" i="76"/>
  <c r="B155" i="76" s="1"/>
  <c r="D154" i="76"/>
  <c r="F154" i="76" s="1"/>
  <c r="E154" i="76" s="1"/>
  <c r="F91" i="70"/>
  <c r="I82" i="70"/>
  <c r="G21" i="50" s="1"/>
  <c r="G22" i="50" s="1"/>
  <c r="G30" i="50" s="1"/>
  <c r="J78" i="70"/>
  <c r="J82" i="70" s="1"/>
  <c r="E95" i="70"/>
  <c r="H20" i="50" s="1"/>
  <c r="H91" i="70"/>
  <c r="H95" i="70" s="1"/>
  <c r="J248" i="64" s="1"/>
  <c r="B104" i="70"/>
  <c r="B9" i="75"/>
  <c r="B24" i="75" s="1"/>
  <c r="B74" i="44"/>
  <c r="F71" i="44"/>
  <c r="D72" i="44"/>
  <c r="F8" i="83" l="1"/>
  <c r="H35" i="77"/>
  <c r="H38" i="77" s="1"/>
  <c r="I17" i="78"/>
  <c r="I24" i="78" s="1"/>
  <c r="G5" i="83" s="1"/>
  <c r="G6" i="83" s="1"/>
  <c r="F13" i="83"/>
  <c r="F14" i="83" s="1"/>
  <c r="H30" i="78"/>
  <c r="H34" i="78" s="1"/>
  <c r="F19" i="77"/>
  <c r="F32" i="77" s="1"/>
  <c r="D7" i="83"/>
  <c r="D16" i="83"/>
  <c r="D18" i="83" s="1"/>
  <c r="D19" i="83" s="1"/>
  <c r="D20" i="83" s="1"/>
  <c r="D22" i="83" s="1"/>
  <c r="J104" i="81"/>
  <c r="J108" i="81" s="1"/>
  <c r="I108" i="81"/>
  <c r="I22" i="77" s="1"/>
  <c r="I23" i="77" s="1"/>
  <c r="I31" i="77" s="1"/>
  <c r="E7" i="83"/>
  <c r="E16" i="83"/>
  <c r="G19" i="77"/>
  <c r="G32" i="77" s="1"/>
  <c r="H155" i="76"/>
  <c r="B156" i="76" s="1"/>
  <c r="D155" i="76"/>
  <c r="F155" i="76" s="1"/>
  <c r="J250" i="64"/>
  <c r="J257" i="64" s="1"/>
  <c r="H15" i="3"/>
  <c r="F95" i="70"/>
  <c r="I91" i="70"/>
  <c r="E104" i="70"/>
  <c r="B108" i="70"/>
  <c r="H74" i="44"/>
  <c r="B75" i="44" s="1"/>
  <c r="D74" i="44"/>
  <c r="E71" i="44"/>
  <c r="E72" i="44" s="1"/>
  <c r="F72" i="44"/>
  <c r="F253" i="64" s="1"/>
  <c r="F257" i="64" s="1"/>
  <c r="H17" i="3" l="1"/>
  <c r="H15" i="85"/>
  <c r="H17" i="85" s="1"/>
  <c r="I26" i="78"/>
  <c r="I17" i="77" s="1"/>
  <c r="D21" i="83"/>
  <c r="D25" i="83" s="1"/>
  <c r="D26" i="83" s="1"/>
  <c r="D11" i="83"/>
  <c r="D10" i="83"/>
  <c r="I35" i="77"/>
  <c r="H7" i="77"/>
  <c r="E18" i="83"/>
  <c r="E19" i="83" s="1"/>
  <c r="E20" i="83" s="1"/>
  <c r="E22" i="83" s="1"/>
  <c r="E11" i="83"/>
  <c r="E10" i="83"/>
  <c r="E155" i="76"/>
  <c r="D156" i="76"/>
  <c r="H156" i="76"/>
  <c r="B159" i="76" s="1"/>
  <c r="E108" i="70"/>
  <c r="I20" i="50" s="1"/>
  <c r="H104" i="70"/>
  <c r="H108" i="70" s="1"/>
  <c r="K248" i="64" s="1"/>
  <c r="F104" i="70"/>
  <c r="I95" i="70"/>
  <c r="H21" i="50" s="1"/>
  <c r="H22" i="50" s="1"/>
  <c r="H30" i="50" s="1"/>
  <c r="J91" i="70"/>
  <c r="J95" i="70" s="1"/>
  <c r="D20" i="3"/>
  <c r="D20" i="85" s="1"/>
  <c r="H75" i="44"/>
  <c r="B76" i="44" s="1"/>
  <c r="D75" i="44"/>
  <c r="F75" i="44" s="1"/>
  <c r="E75" i="44" s="1"/>
  <c r="F74" i="44"/>
  <c r="D32" i="85" l="1"/>
  <c r="D33" i="85" s="1"/>
  <c r="K42" i="87"/>
  <c r="K43" i="87" s="1"/>
  <c r="K54" i="87" s="1"/>
  <c r="D24" i="85"/>
  <c r="D23" i="83"/>
  <c r="G13" i="83"/>
  <c r="G14" i="83" s="1"/>
  <c r="I28" i="78"/>
  <c r="I36" i="77" s="1"/>
  <c r="G8" i="83"/>
  <c r="I30" i="78"/>
  <c r="I34" i="78" s="1"/>
  <c r="F16" i="83"/>
  <c r="F7" i="83"/>
  <c r="H19" i="77"/>
  <c r="H32" i="77" s="1"/>
  <c r="E21" i="83"/>
  <c r="E25" i="83" s="1"/>
  <c r="E26" i="83" s="1"/>
  <c r="H159" i="76"/>
  <c r="B160" i="76" s="1"/>
  <c r="D159" i="76"/>
  <c r="F156" i="76"/>
  <c r="D157" i="76"/>
  <c r="I15" i="3"/>
  <c r="K250" i="64"/>
  <c r="K257" i="64" s="1"/>
  <c r="F108" i="70"/>
  <c r="I104" i="70"/>
  <c r="E74" i="44"/>
  <c r="D32" i="3"/>
  <c r="D33" i="3" s="1"/>
  <c r="D24" i="3"/>
  <c r="H76" i="44"/>
  <c r="B77" i="44" s="1"/>
  <c r="D76" i="44"/>
  <c r="B5" i="86" l="1"/>
  <c r="B6" i="86" s="1"/>
  <c r="K323" i="87"/>
  <c r="K59" i="87"/>
  <c r="K319" i="87"/>
  <c r="K302" i="87"/>
  <c r="K309" i="87" s="1"/>
  <c r="I17" i="3"/>
  <c r="I15" i="85"/>
  <c r="I17" i="85" s="1"/>
  <c r="I38" i="77"/>
  <c r="I7" i="77" s="1"/>
  <c r="G7" i="83" s="1"/>
  <c r="F11" i="83"/>
  <c r="F10" i="83"/>
  <c r="F18" i="83"/>
  <c r="F19" i="83" s="1"/>
  <c r="F20" i="83" s="1"/>
  <c r="F22" i="83" s="1"/>
  <c r="E23" i="83"/>
  <c r="E156" i="76"/>
  <c r="E157" i="76" s="1"/>
  <c r="F157" i="76"/>
  <c r="F159" i="76"/>
  <c r="H160" i="76"/>
  <c r="B161" i="76" s="1"/>
  <c r="D160" i="76"/>
  <c r="F160" i="76" s="1"/>
  <c r="E160" i="76" s="1"/>
  <c r="D26" i="3"/>
  <c r="B5" i="75"/>
  <c r="B6" i="75" s="1"/>
  <c r="I108" i="70"/>
  <c r="I21" i="50" s="1"/>
  <c r="I22" i="50" s="1"/>
  <c r="I30" i="50" s="1"/>
  <c r="J104" i="70"/>
  <c r="J108" i="70" s="1"/>
  <c r="D77" i="44"/>
  <c r="F77" i="44" s="1"/>
  <c r="E77" i="44" s="1"/>
  <c r="H77" i="44"/>
  <c r="B78" i="44" s="1"/>
  <c r="F76" i="44"/>
  <c r="D16" i="50" l="1"/>
  <c r="D16" i="84" s="1"/>
  <c r="D26" i="85"/>
  <c r="K317" i="87"/>
  <c r="K318" i="87"/>
  <c r="J35" i="77"/>
  <c r="J38" i="77" s="1"/>
  <c r="K35" i="77" s="1"/>
  <c r="K38" i="77" s="1"/>
  <c r="K7" i="77" s="1"/>
  <c r="G16" i="83"/>
  <c r="G18" i="83" s="1"/>
  <c r="G19" i="83" s="1"/>
  <c r="G20" i="83" s="1"/>
  <c r="G22" i="83" s="1"/>
  <c r="I19" i="77"/>
  <c r="I32" i="77" s="1"/>
  <c r="F21" i="83"/>
  <c r="F25" i="83" s="1"/>
  <c r="F26" i="83" s="1"/>
  <c r="G11" i="83"/>
  <c r="G10" i="83"/>
  <c r="E159" i="76"/>
  <c r="D161" i="76"/>
  <c r="F161" i="76" s="1"/>
  <c r="E161" i="76" s="1"/>
  <c r="H161" i="76"/>
  <c r="B162" i="76" s="1"/>
  <c r="B8" i="75"/>
  <c r="D28" i="3"/>
  <c r="D35" i="50" s="1"/>
  <c r="E76" i="44"/>
  <c r="D78" i="44"/>
  <c r="H78" i="44"/>
  <c r="B79" i="44" s="1"/>
  <c r="B13" i="75" l="1"/>
  <c r="B14" i="75" s="1"/>
  <c r="K55" i="87"/>
  <c r="K56" i="87" s="1"/>
  <c r="D28" i="85"/>
  <c r="D30" i="85" s="1"/>
  <c r="D34" i="85" s="1"/>
  <c r="D35" i="84"/>
  <c r="D37" i="84" s="1"/>
  <c r="D7" i="84" s="1"/>
  <c r="D38" i="50"/>
  <c r="E34" i="50" s="1"/>
  <c r="K84" i="87"/>
  <c r="K88" i="87" s="1"/>
  <c r="B8" i="86"/>
  <c r="B13" i="86"/>
  <c r="B14" i="86" s="1"/>
  <c r="J7" i="77"/>
  <c r="J19" i="77" s="1"/>
  <c r="J32" i="77" s="1"/>
  <c r="K19" i="77"/>
  <c r="K32" i="77" s="1"/>
  <c r="I7" i="83"/>
  <c r="I16" i="83"/>
  <c r="F23" i="83"/>
  <c r="G21" i="83"/>
  <c r="G25" i="83" s="1"/>
  <c r="G26" i="83" s="1"/>
  <c r="H162" i="76"/>
  <c r="B163" i="76" s="1"/>
  <c r="D162" i="76"/>
  <c r="D30" i="3"/>
  <c r="D34" i="3" s="1"/>
  <c r="F78" i="44"/>
  <c r="D79" i="44"/>
  <c r="F79" i="44" s="1"/>
  <c r="E79" i="44" s="1"/>
  <c r="H79" i="44"/>
  <c r="B80" i="44" s="1"/>
  <c r="D7" i="50"/>
  <c r="K329" i="87" l="1"/>
  <c r="K247" i="87"/>
  <c r="K282" i="87"/>
  <c r="K284" i="87" s="1"/>
  <c r="K89" i="87"/>
  <c r="K242" i="87"/>
  <c r="K243" i="87" s="1"/>
  <c r="K231" i="87"/>
  <c r="K103" i="87"/>
  <c r="K109" i="87" s="1"/>
  <c r="B7" i="86"/>
  <c r="B11" i="86" s="1"/>
  <c r="D18" i="84"/>
  <c r="D31" i="84" s="1"/>
  <c r="K303" i="87"/>
  <c r="K269" i="87"/>
  <c r="K277" i="87" s="1"/>
  <c r="K304" i="87"/>
  <c r="K58" i="87"/>
  <c r="K259" i="87" s="1"/>
  <c r="K267" i="87" s="1"/>
  <c r="K315" i="87"/>
  <c r="H16" i="83"/>
  <c r="H18" i="83" s="1"/>
  <c r="H19" i="83" s="1"/>
  <c r="H20" i="83" s="1"/>
  <c r="H22" i="83" s="1"/>
  <c r="H7" i="83"/>
  <c r="H11" i="83" s="1"/>
  <c r="I18" i="83"/>
  <c r="I19" i="83" s="1"/>
  <c r="I20" i="83" s="1"/>
  <c r="I22" i="83" s="1"/>
  <c r="I11" i="83"/>
  <c r="I10" i="83"/>
  <c r="E34" i="84"/>
  <c r="G23" i="83"/>
  <c r="D163" i="76"/>
  <c r="F163" i="76" s="1"/>
  <c r="E163" i="76" s="1"/>
  <c r="H163" i="76"/>
  <c r="B164" i="76" s="1"/>
  <c r="F162" i="76"/>
  <c r="D18" i="50"/>
  <c r="D31" i="50" s="1"/>
  <c r="B16" i="75"/>
  <c r="B18" i="75" s="1"/>
  <c r="B19" i="75" s="1"/>
  <c r="B7" i="75"/>
  <c r="E78" i="44"/>
  <c r="H80" i="44"/>
  <c r="B81" i="44" s="1"/>
  <c r="D80" i="44"/>
  <c r="K278" i="87" l="1"/>
  <c r="K285" i="87" s="1"/>
  <c r="B10" i="86"/>
  <c r="K172" i="87"/>
  <c r="K171" i="87"/>
  <c r="K99" i="87"/>
  <c r="K173" i="87"/>
  <c r="K308" i="87" s="1"/>
  <c r="K334" i="87"/>
  <c r="K330" i="87"/>
  <c r="H10" i="83"/>
  <c r="H21" i="83"/>
  <c r="H25" i="83" s="1"/>
  <c r="H26" i="83" s="1"/>
  <c r="I21" i="83"/>
  <c r="I25" i="83" s="1"/>
  <c r="I26" i="83" s="1"/>
  <c r="D164" i="76"/>
  <c r="F164" i="76" s="1"/>
  <c r="E164" i="76" s="1"/>
  <c r="H164" i="76"/>
  <c r="B165" i="76" s="1"/>
  <c r="E162" i="76"/>
  <c r="B21" i="75"/>
  <c r="B25" i="75" s="1"/>
  <c r="B26" i="75" s="1"/>
  <c r="B20" i="75"/>
  <c r="B22" i="75" s="1"/>
  <c r="B10" i="75"/>
  <c r="B11" i="75"/>
  <c r="F80" i="44"/>
  <c r="D81" i="44"/>
  <c r="F81" i="44" s="1"/>
  <c r="E81" i="44" s="1"/>
  <c r="H81" i="44"/>
  <c r="B82" i="44" s="1"/>
  <c r="K174" i="87" l="1"/>
  <c r="K307" i="87"/>
  <c r="K176" i="87"/>
  <c r="K175" i="87"/>
  <c r="K306" i="87"/>
  <c r="K111" i="87"/>
  <c r="K170" i="87" s="1"/>
  <c r="K177" i="87" s="1"/>
  <c r="K244" i="87"/>
  <c r="K245" i="87" s="1"/>
  <c r="K249" i="87" s="1"/>
  <c r="K333" i="87"/>
  <c r="K331" i="87"/>
  <c r="K332" i="87" s="1"/>
  <c r="K336" i="87" s="1"/>
  <c r="K279" i="87"/>
  <c r="K316" i="87"/>
  <c r="K246" i="87"/>
  <c r="I23" i="83"/>
  <c r="H23" i="83"/>
  <c r="D165" i="76"/>
  <c r="F165" i="76" s="1"/>
  <c r="E165" i="76" s="1"/>
  <c r="H165" i="76"/>
  <c r="B166" i="76" s="1"/>
  <c r="B23" i="75"/>
  <c r="E80" i="44"/>
  <c r="D82" i="44"/>
  <c r="H82" i="44"/>
  <c r="B83" i="44" s="1"/>
  <c r="D166" i="76" l="1"/>
  <c r="F166" i="76" s="1"/>
  <c r="E166" i="76" s="1"/>
  <c r="H166" i="76"/>
  <c r="B167" i="76" s="1"/>
  <c r="F82" i="44"/>
  <c r="D83" i="44"/>
  <c r="F83" i="44" s="1"/>
  <c r="E83" i="44" s="1"/>
  <c r="H83" i="44"/>
  <c r="B84" i="44" s="1"/>
  <c r="D167" i="76" l="1"/>
  <c r="F167" i="76" s="1"/>
  <c r="E167" i="76" s="1"/>
  <c r="H167" i="76"/>
  <c r="B168" i="76" s="1"/>
  <c r="E82" i="44"/>
  <c r="H84" i="44"/>
  <c r="B85" i="44" s="1"/>
  <c r="D84" i="44"/>
  <c r="F84" i="44" s="1"/>
  <c r="E84" i="44" s="1"/>
  <c r="D168" i="76" l="1"/>
  <c r="F168" i="76" s="1"/>
  <c r="E168" i="76" s="1"/>
  <c r="H168" i="76"/>
  <c r="B169" i="76" s="1"/>
  <c r="D85" i="44"/>
  <c r="H85" i="44"/>
  <c r="H169" i="76" l="1"/>
  <c r="B170" i="76" s="1"/>
  <c r="D169" i="76"/>
  <c r="F169" i="76" s="1"/>
  <c r="E169" i="76" s="1"/>
  <c r="F85" i="44"/>
  <c r="D86" i="44"/>
  <c r="C9" i="75"/>
  <c r="C24" i="75" s="1"/>
  <c r="B88" i="44"/>
  <c r="H170" i="76" l="1"/>
  <c r="D170" i="76"/>
  <c r="E85" i="44"/>
  <c r="E86" i="44" s="1"/>
  <c r="F86" i="44"/>
  <c r="H88" i="44"/>
  <c r="B89" i="44" s="1"/>
  <c r="D88" i="44"/>
  <c r="F170" i="76" l="1"/>
  <c r="D171" i="76"/>
  <c r="E20" i="3"/>
  <c r="E20" i="85" s="1"/>
  <c r="D89" i="44"/>
  <c r="F89" i="44" s="1"/>
  <c r="E89" i="44" s="1"/>
  <c r="H89" i="44"/>
  <c r="B90" i="44" s="1"/>
  <c r="F88" i="44"/>
  <c r="L42" i="87" l="1"/>
  <c r="E32" i="85"/>
  <c r="E33" i="85" s="1"/>
  <c r="E24" i="85"/>
  <c r="E170" i="76"/>
  <c r="E171" i="76" s="1"/>
  <c r="F171" i="76"/>
  <c r="E32" i="3"/>
  <c r="E33" i="3" s="1"/>
  <c r="E24" i="3"/>
  <c r="C5" i="75" s="1"/>
  <c r="C6" i="75" s="1"/>
  <c r="E88" i="44"/>
  <c r="H90" i="44"/>
  <c r="B91" i="44" s="1"/>
  <c r="D90" i="44"/>
  <c r="C5" i="86" l="1"/>
  <c r="C6" i="86" s="1"/>
  <c r="L43" i="87"/>
  <c r="L54" i="87" s="1"/>
  <c r="E26" i="3"/>
  <c r="D91" i="44"/>
  <c r="F91" i="44" s="1"/>
  <c r="E91" i="44" s="1"/>
  <c r="H91" i="44"/>
  <c r="B92" i="44" s="1"/>
  <c r="F90" i="44"/>
  <c r="E16" i="50" l="1"/>
  <c r="E16" i="84" s="1"/>
  <c r="E26" i="85"/>
  <c r="L59" i="87"/>
  <c r="L319" i="87"/>
  <c r="L302" i="87"/>
  <c r="L309" i="87" s="1"/>
  <c r="L323" i="87"/>
  <c r="E28" i="3"/>
  <c r="E30" i="3" s="1"/>
  <c r="E34" i="3" s="1"/>
  <c r="E90" i="44"/>
  <c r="H92" i="44"/>
  <c r="B93" i="44" s="1"/>
  <c r="D92" i="44"/>
  <c r="C13" i="75" l="1"/>
  <c r="C14" i="75" s="1"/>
  <c r="C8" i="75"/>
  <c r="L317" i="87"/>
  <c r="L318" i="87"/>
  <c r="L55" i="87"/>
  <c r="L56" i="87" s="1"/>
  <c r="E28" i="85"/>
  <c r="E30" i="85" s="1"/>
  <c r="E34" i="85" s="1"/>
  <c r="C8" i="86"/>
  <c r="C13" i="86"/>
  <c r="C14" i="86" s="1"/>
  <c r="L84" i="87"/>
  <c r="L88" i="87" s="1"/>
  <c r="E35" i="50"/>
  <c r="D93" i="44"/>
  <c r="F93" i="44" s="1"/>
  <c r="E93" i="44" s="1"/>
  <c r="H93" i="44"/>
  <c r="B94" i="44" s="1"/>
  <c r="F92" i="44"/>
  <c r="E35" i="84" l="1"/>
  <c r="E37" i="84" s="1"/>
  <c r="E38" i="50"/>
  <c r="F34" i="50" s="1"/>
  <c r="L242" i="87"/>
  <c r="L243" i="87" s="1"/>
  <c r="L89" i="87"/>
  <c r="L282" i="87"/>
  <c r="L284" i="87" s="1"/>
  <c r="L247" i="87"/>
  <c r="L231" i="87"/>
  <c r="L329" i="87"/>
  <c r="L269" i="87"/>
  <c r="L277" i="87" s="1"/>
  <c r="L303" i="87"/>
  <c r="L58" i="87"/>
  <c r="L259" i="87" s="1"/>
  <c r="L267" i="87" s="1"/>
  <c r="L304" i="87"/>
  <c r="L315" i="87"/>
  <c r="H94" i="44"/>
  <c r="B95" i="44" s="1"/>
  <c r="D94" i="44"/>
  <c r="F94" i="44" s="1"/>
  <c r="E94" i="44" s="1"/>
  <c r="E92" i="44"/>
  <c r="E7" i="50" l="1"/>
  <c r="C16" i="75" s="1"/>
  <c r="L278" i="87"/>
  <c r="L285" i="87" s="1"/>
  <c r="L173" i="87"/>
  <c r="L308" i="87" s="1"/>
  <c r="L99" i="87"/>
  <c r="F34" i="84"/>
  <c r="E7" i="84"/>
  <c r="L330" i="87"/>
  <c r="L334" i="87"/>
  <c r="D95" i="44"/>
  <c r="H95" i="44"/>
  <c r="B96" i="44" s="1"/>
  <c r="E18" i="50" l="1"/>
  <c r="E31" i="50" s="1"/>
  <c r="C7" i="75"/>
  <c r="C11" i="75" s="1"/>
  <c r="L103" i="87"/>
  <c r="L109" i="87" s="1"/>
  <c r="C7" i="86"/>
  <c r="E18" i="84"/>
  <c r="E31" i="84" s="1"/>
  <c r="C18" i="75"/>
  <c r="C19" i="75" s="1"/>
  <c r="C20" i="75" s="1"/>
  <c r="C22" i="75" s="1"/>
  <c r="F95" i="44"/>
  <c r="H96" i="44"/>
  <c r="B97" i="44" s="1"/>
  <c r="D96" i="44"/>
  <c r="F96" i="44" s="1"/>
  <c r="E96" i="44" s="1"/>
  <c r="C10" i="75" l="1"/>
  <c r="C11" i="86"/>
  <c r="C10" i="86"/>
  <c r="L111" i="87"/>
  <c r="L170" i="87" s="1"/>
  <c r="L177" i="87" s="1"/>
  <c r="L171" i="87"/>
  <c r="L172" i="87"/>
  <c r="C21" i="75"/>
  <c r="C25" i="75" s="1"/>
  <c r="C26" i="75" s="1"/>
  <c r="E95" i="44"/>
  <c r="D97" i="44"/>
  <c r="F97" i="44" s="1"/>
  <c r="E97" i="44" s="1"/>
  <c r="H97" i="44"/>
  <c r="B98" i="44" s="1"/>
  <c r="L246" i="87" l="1"/>
  <c r="L316" i="87"/>
  <c r="L331" i="87"/>
  <c r="L332" i="87" s="1"/>
  <c r="L336" i="87" s="1"/>
  <c r="L279" i="87"/>
  <c r="L244" i="87"/>
  <c r="L245" i="87" s="1"/>
  <c r="L249" i="87" s="1"/>
  <c r="L333" i="87"/>
  <c r="L306" i="87"/>
  <c r="L175" i="87"/>
  <c r="L176" i="87"/>
  <c r="L307" i="87"/>
  <c r="L174" i="87"/>
  <c r="C23" i="75"/>
  <c r="H98" i="44"/>
  <c r="B99" i="44" s="1"/>
  <c r="D98" i="44"/>
  <c r="F98" i="44" s="1"/>
  <c r="E98" i="44" s="1"/>
  <c r="D99" i="44" l="1"/>
  <c r="H99" i="44"/>
  <c r="F99" i="44" l="1"/>
  <c r="D100" i="44"/>
  <c r="D9" i="75"/>
  <c r="D24" i="75" s="1"/>
  <c r="B102" i="44"/>
  <c r="E99" i="44" l="1"/>
  <c r="E100" i="44" s="1"/>
  <c r="F100" i="44"/>
  <c r="H102" i="44"/>
  <c r="B103" i="44" s="1"/>
  <c r="D102" i="44"/>
  <c r="F20" i="3" l="1"/>
  <c r="F20" i="85" s="1"/>
  <c r="D103" i="44"/>
  <c r="F103" i="44" s="1"/>
  <c r="E103" i="44" s="1"/>
  <c r="H103" i="44"/>
  <c r="B104" i="44" s="1"/>
  <c r="F102" i="44"/>
  <c r="M42" i="87" l="1"/>
  <c r="F32" i="85"/>
  <c r="F33" i="85" s="1"/>
  <c r="F24" i="85"/>
  <c r="F32" i="3"/>
  <c r="F33" i="3" s="1"/>
  <c r="F24" i="3"/>
  <c r="D5" i="75" s="1"/>
  <c r="D6" i="75" s="1"/>
  <c r="E102" i="44"/>
  <c r="D104" i="44"/>
  <c r="H104" i="44"/>
  <c r="B105" i="44" s="1"/>
  <c r="D5" i="86" l="1"/>
  <c r="D6" i="86" s="1"/>
  <c r="M43" i="87"/>
  <c r="M54" i="87" s="1"/>
  <c r="F104" i="44"/>
  <c r="D105" i="44"/>
  <c r="F105" i="44" s="1"/>
  <c r="E105" i="44" s="1"/>
  <c r="H105" i="44"/>
  <c r="B106" i="44" s="1"/>
  <c r="F26" i="3"/>
  <c r="F16" i="50" l="1"/>
  <c r="F16" i="84" s="1"/>
  <c r="F26" i="85"/>
  <c r="M302" i="87"/>
  <c r="M309" i="87" s="1"/>
  <c r="M59" i="87"/>
  <c r="M319" i="87"/>
  <c r="M323" i="87"/>
  <c r="F28" i="3"/>
  <c r="F30" i="3" s="1"/>
  <c r="F34" i="3" s="1"/>
  <c r="E104" i="44"/>
  <c r="D106" i="44"/>
  <c r="H106" i="44"/>
  <c r="B107" i="44" s="1"/>
  <c r="D13" i="75" l="1"/>
  <c r="D14" i="75" s="1"/>
  <c r="D8" i="75"/>
  <c r="M318" i="87"/>
  <c r="M317" i="87"/>
  <c r="M55" i="87"/>
  <c r="M56" i="87" s="1"/>
  <c r="F28" i="85"/>
  <c r="F30" i="85" s="1"/>
  <c r="F34" i="85" s="1"/>
  <c r="M84" i="87"/>
  <c r="M88" i="87" s="1"/>
  <c r="D8" i="86"/>
  <c r="D13" i="86"/>
  <c r="D14" i="86" s="1"/>
  <c r="F35" i="50"/>
  <c r="F106" i="44"/>
  <c r="D107" i="44"/>
  <c r="F107" i="44" s="1"/>
  <c r="E107" i="44" s="1"/>
  <c r="H107" i="44"/>
  <c r="B108" i="44" s="1"/>
  <c r="F35" i="84" l="1"/>
  <c r="F37" i="84" s="1"/>
  <c r="F38" i="50"/>
  <c r="G34" i="50" s="1"/>
  <c r="M231" i="87"/>
  <c r="M242" i="87"/>
  <c r="M243" i="87" s="1"/>
  <c r="M89" i="87"/>
  <c r="M329" i="87"/>
  <c r="M282" i="87"/>
  <c r="M284" i="87" s="1"/>
  <c r="M247" i="87"/>
  <c r="M269" i="87"/>
  <c r="M277" i="87" s="1"/>
  <c r="M315" i="87"/>
  <c r="M58" i="87"/>
  <c r="M259" i="87" s="1"/>
  <c r="M267" i="87" s="1"/>
  <c r="M303" i="87"/>
  <c r="M304" i="87"/>
  <c r="E106" i="44"/>
  <c r="H108" i="44"/>
  <c r="B109" i="44" s="1"/>
  <c r="D108" i="44"/>
  <c r="F7" i="50" l="1"/>
  <c r="D16" i="75" s="1"/>
  <c r="M330" i="87"/>
  <c r="M334" i="87"/>
  <c r="M278" i="87"/>
  <c r="M285" i="87" s="1"/>
  <c r="M99" i="87"/>
  <c r="M173" i="87"/>
  <c r="M308" i="87" s="1"/>
  <c r="F7" i="84"/>
  <c r="G34" i="84"/>
  <c r="F18" i="50"/>
  <c r="F31" i="50" s="1"/>
  <c r="D7" i="75"/>
  <c r="F108" i="44"/>
  <c r="D109" i="44"/>
  <c r="F109" i="44" s="1"/>
  <c r="E109" i="44" s="1"/>
  <c r="H109" i="44"/>
  <c r="B110" i="44" s="1"/>
  <c r="M103" i="87" l="1"/>
  <c r="M109" i="87" s="1"/>
  <c r="F18" i="84"/>
  <c r="F31" i="84" s="1"/>
  <c r="D7" i="86"/>
  <c r="D18" i="75"/>
  <c r="D19" i="75" s="1"/>
  <c r="D20" i="75" s="1"/>
  <c r="D22" i="75" s="1"/>
  <c r="D10" i="75"/>
  <c r="D11" i="75"/>
  <c r="D110" i="44"/>
  <c r="H110" i="44"/>
  <c r="B111" i="44" s="1"/>
  <c r="E108" i="44"/>
  <c r="D11" i="86" l="1"/>
  <c r="D10" i="86"/>
  <c r="M171" i="87"/>
  <c r="M172" i="87"/>
  <c r="M111" i="87"/>
  <c r="M170" i="87" s="1"/>
  <c r="M177" i="87" s="1"/>
  <c r="D21" i="75"/>
  <c r="D25" i="75" s="1"/>
  <c r="D26" i="75" s="1"/>
  <c r="F110" i="44"/>
  <c r="D111" i="44"/>
  <c r="F111" i="44" s="1"/>
  <c r="E111" i="44" s="1"/>
  <c r="H111" i="44"/>
  <c r="B112" i="44" s="1"/>
  <c r="M331" i="87" l="1"/>
  <c r="M332" i="87" s="1"/>
  <c r="M336" i="87" s="1"/>
  <c r="M316" i="87"/>
  <c r="M279" i="87"/>
  <c r="M244" i="87"/>
  <c r="M245" i="87" s="1"/>
  <c r="M249" i="87" s="1"/>
  <c r="M246" i="87"/>
  <c r="M333" i="87"/>
  <c r="M175" i="87"/>
  <c r="M306" i="87"/>
  <c r="M307" i="87"/>
  <c r="M174" i="87"/>
  <c r="M176" i="87"/>
  <c r="D23" i="75"/>
  <c r="E110" i="44"/>
  <c r="H112" i="44"/>
  <c r="B113" i="44" s="1"/>
  <c r="D112" i="44"/>
  <c r="F112" i="44" s="1"/>
  <c r="E112" i="44" s="1"/>
  <c r="D113" i="44" l="1"/>
  <c r="H113" i="44"/>
  <c r="F113" i="44" l="1"/>
  <c r="D114" i="44"/>
  <c r="B116" i="44"/>
  <c r="E9" i="75"/>
  <c r="E24" i="75" s="1"/>
  <c r="E113" i="44" l="1"/>
  <c r="E114" i="44" s="1"/>
  <c r="F114" i="44"/>
  <c r="H116" i="44"/>
  <c r="B117" i="44" s="1"/>
  <c r="D116" i="44"/>
  <c r="G20" i="3" l="1"/>
  <c r="G20" i="85" s="1"/>
  <c r="D117" i="44"/>
  <c r="F117" i="44" s="1"/>
  <c r="E117" i="44" s="1"/>
  <c r="H117" i="44"/>
  <c r="B118" i="44" s="1"/>
  <c r="F116" i="44"/>
  <c r="G32" i="85" l="1"/>
  <c r="G33" i="85" s="1"/>
  <c r="G24" i="85"/>
  <c r="E5" i="86" s="1"/>
  <c r="E6" i="86" s="1"/>
  <c r="G32" i="3"/>
  <c r="G33" i="3" s="1"/>
  <c r="G24" i="3"/>
  <c r="E5" i="75" s="1"/>
  <c r="E6" i="75" s="1"/>
  <c r="E116" i="44"/>
  <c r="H118" i="44"/>
  <c r="B119" i="44" s="1"/>
  <c r="D118" i="44"/>
  <c r="G26" i="3" l="1"/>
  <c r="D119" i="44"/>
  <c r="F119" i="44" s="1"/>
  <c r="E119" i="44" s="1"/>
  <c r="H119" i="44"/>
  <c r="B120" i="44" s="1"/>
  <c r="F118" i="44"/>
  <c r="G16" i="50" l="1"/>
  <c r="G16" i="84" s="1"/>
  <c r="G26" i="85"/>
  <c r="G28" i="85" s="1"/>
  <c r="G30" i="85" s="1"/>
  <c r="G34" i="85" s="1"/>
  <c r="G28" i="3"/>
  <c r="G35" i="50" s="1"/>
  <c r="E118" i="44"/>
  <c r="H120" i="44"/>
  <c r="B121" i="44" s="1"/>
  <c r="D120" i="44"/>
  <c r="E8" i="75" l="1"/>
  <c r="E13" i="75"/>
  <c r="E14" i="75" s="1"/>
  <c r="G35" i="84"/>
  <c r="G37" i="84" s="1"/>
  <c r="G38" i="50"/>
  <c r="H34" i="50" s="1"/>
  <c r="E8" i="86"/>
  <c r="E13" i="86"/>
  <c r="E14" i="86" s="1"/>
  <c r="G30" i="3"/>
  <c r="G34" i="3" s="1"/>
  <c r="D121" i="44"/>
  <c r="F121" i="44" s="1"/>
  <c r="E121" i="44" s="1"/>
  <c r="H121" i="44"/>
  <c r="B122" i="44" s="1"/>
  <c r="F120" i="44"/>
  <c r="G7" i="50" l="1"/>
  <c r="G18" i="50" s="1"/>
  <c r="G31" i="50" s="1"/>
  <c r="H34" i="84"/>
  <c r="G7" i="84"/>
  <c r="H122" i="44"/>
  <c r="B123" i="44" s="1"/>
  <c r="D122" i="44"/>
  <c r="E120" i="44"/>
  <c r="E7" i="75" l="1"/>
  <c r="E11" i="75" s="1"/>
  <c r="E16" i="75"/>
  <c r="E18" i="75" s="1"/>
  <c r="E19" i="75" s="1"/>
  <c r="E20" i="75" s="1"/>
  <c r="E22" i="75" s="1"/>
  <c r="G18" i="84"/>
  <c r="G31" i="84" s="1"/>
  <c r="E7" i="86"/>
  <c r="F122" i="44"/>
  <c r="D123" i="44"/>
  <c r="F123" i="44" s="1"/>
  <c r="E123" i="44" s="1"/>
  <c r="H123" i="44"/>
  <c r="B124" i="44" s="1"/>
  <c r="E10" i="75" l="1"/>
  <c r="E11" i="86"/>
  <c r="E10" i="86"/>
  <c r="E21" i="75"/>
  <c r="E25" i="75" s="1"/>
  <c r="E26" i="75" s="1"/>
  <c r="E122" i="44"/>
  <c r="H124" i="44"/>
  <c r="B125" i="44" s="1"/>
  <c r="D124" i="44"/>
  <c r="E23" i="75" l="1"/>
  <c r="D125" i="44"/>
  <c r="F125" i="44" s="1"/>
  <c r="E125" i="44" s="1"/>
  <c r="H125" i="44"/>
  <c r="B126" i="44" s="1"/>
  <c r="F124" i="44"/>
  <c r="D126" i="44" l="1"/>
  <c r="F126" i="44" s="1"/>
  <c r="E126" i="44" s="1"/>
  <c r="H126" i="44"/>
  <c r="B127" i="44" s="1"/>
  <c r="E124" i="44"/>
  <c r="D127" i="44" l="1"/>
  <c r="H127" i="44"/>
  <c r="B130" i="44" s="1"/>
  <c r="F127" i="44" l="1"/>
  <c r="D128" i="44"/>
  <c r="D130" i="44"/>
  <c r="H130" i="44"/>
  <c r="B131" i="44" s="1"/>
  <c r="E127" i="44" l="1"/>
  <c r="E128" i="44" s="1"/>
  <c r="F128" i="44"/>
  <c r="F130" i="44"/>
  <c r="D131" i="44"/>
  <c r="F131" i="44" s="1"/>
  <c r="E131" i="44" s="1"/>
  <c r="H131" i="44"/>
  <c r="B132" i="44" s="1"/>
  <c r="H132" i="44" l="1"/>
  <c r="B133" i="44" s="1"/>
  <c r="D132" i="44"/>
  <c r="F132" i="44" s="1"/>
  <c r="E132" i="44" s="1"/>
  <c r="H20" i="3"/>
  <c r="H20" i="85" s="1"/>
  <c r="E130" i="44"/>
  <c r="H32" i="85" l="1"/>
  <c r="H33" i="85" s="1"/>
  <c r="H24" i="85"/>
  <c r="F5" i="86" s="1"/>
  <c r="F6" i="86" s="1"/>
  <c r="D133" i="44"/>
  <c r="F133" i="44" s="1"/>
  <c r="H133" i="44"/>
  <c r="B134" i="44" s="1"/>
  <c r="H32" i="3"/>
  <c r="H33" i="3" s="1"/>
  <c r="H24" i="3"/>
  <c r="F5" i="75" s="1"/>
  <c r="F6" i="75" s="1"/>
  <c r="H26" i="3" l="1"/>
  <c r="E133" i="44"/>
  <c r="H134" i="44"/>
  <c r="B135" i="44" s="1"/>
  <c r="D134" i="44"/>
  <c r="F134" i="44" s="1"/>
  <c r="E134" i="44" s="1"/>
  <c r="H16" i="50" l="1"/>
  <c r="H16" i="84" s="1"/>
  <c r="H26" i="85"/>
  <c r="H28" i="85" s="1"/>
  <c r="H30" i="85" s="1"/>
  <c r="H34" i="85" s="1"/>
  <c r="H28" i="3"/>
  <c r="H30" i="3" s="1"/>
  <c r="H34" i="3" s="1"/>
  <c r="D135" i="44"/>
  <c r="F135" i="44" s="1"/>
  <c r="E135" i="44" s="1"/>
  <c r="H135" i="44"/>
  <c r="B136" i="44" s="1"/>
  <c r="F13" i="75" l="1"/>
  <c r="F14" i="75" s="1"/>
  <c r="F8" i="75"/>
  <c r="F8" i="86"/>
  <c r="F13" i="86"/>
  <c r="F14" i="86" s="1"/>
  <c r="H35" i="50"/>
  <c r="H136" i="44"/>
  <c r="B137" i="44" s="1"/>
  <c r="D136" i="44"/>
  <c r="F136" i="44" s="1"/>
  <c r="E136" i="44" s="1"/>
  <c r="H35" i="84" l="1"/>
  <c r="H37" i="84" s="1"/>
  <c r="H38" i="50"/>
  <c r="H7" i="50" s="1"/>
  <c r="H18" i="50" s="1"/>
  <c r="H31" i="50" s="1"/>
  <c r="D137" i="44"/>
  <c r="F137" i="44" s="1"/>
  <c r="H137" i="44"/>
  <c r="B138" i="44" s="1"/>
  <c r="I34" i="50" l="1"/>
  <c r="I34" i="84"/>
  <c r="H7" i="84"/>
  <c r="F7" i="75"/>
  <c r="F11" i="75" s="1"/>
  <c r="F16" i="75"/>
  <c r="F18" i="75" s="1"/>
  <c r="F19" i="75" s="1"/>
  <c r="F20" i="75" s="1"/>
  <c r="F22" i="75" s="1"/>
  <c r="E137" i="44"/>
  <c r="H138" i="44"/>
  <c r="B139" i="44" s="1"/>
  <c r="D138" i="44"/>
  <c r="F138" i="44" s="1"/>
  <c r="E138" i="44" s="1"/>
  <c r="F7" i="86" l="1"/>
  <c r="H18" i="84"/>
  <c r="H31" i="84" s="1"/>
  <c r="F10" i="75"/>
  <c r="F21" i="75"/>
  <c r="F25" i="75" s="1"/>
  <c r="F26" i="75" s="1"/>
  <c r="D139" i="44"/>
  <c r="F139" i="44" s="1"/>
  <c r="E139" i="44" s="1"/>
  <c r="H139" i="44"/>
  <c r="B140" i="44" s="1"/>
  <c r="F11" i="86" l="1"/>
  <c r="F10" i="86"/>
  <c r="F23" i="75"/>
  <c r="H140" i="44"/>
  <c r="B141" i="44" s="1"/>
  <c r="D140" i="44"/>
  <c r="F140" i="44" s="1"/>
  <c r="E140" i="44" s="1"/>
  <c r="H141" i="44" l="1"/>
  <c r="D141" i="44"/>
  <c r="F141" i="44" l="1"/>
  <c r="D142" i="44"/>
  <c r="E141" i="44" l="1"/>
  <c r="E142" i="44" s="1"/>
  <c r="F142" i="44"/>
  <c r="I20" i="3" l="1"/>
  <c r="I20" i="85" s="1"/>
  <c r="I32" i="85" l="1"/>
  <c r="I33" i="85" s="1"/>
  <c r="I24" i="85"/>
  <c r="G5" i="86" s="1"/>
  <c r="G6" i="86" s="1"/>
  <c r="I32" i="3"/>
  <c r="I33" i="3" s="1"/>
  <c r="I24" i="3"/>
  <c r="G5" i="75" s="1"/>
  <c r="G6" i="75" s="1"/>
  <c r="I26" i="3" l="1"/>
  <c r="I16" i="50" l="1"/>
  <c r="I16" i="84" s="1"/>
  <c r="I26" i="85"/>
  <c r="I28" i="85" s="1"/>
  <c r="I30" i="85" s="1"/>
  <c r="I34" i="85" s="1"/>
  <c r="I28" i="3"/>
  <c r="I30" i="3" s="1"/>
  <c r="I34" i="3" s="1"/>
  <c r="G13" i="75" l="1"/>
  <c r="G14" i="75" s="1"/>
  <c r="G8" i="75"/>
  <c r="G8" i="86"/>
  <c r="G13" i="86"/>
  <c r="G14" i="86" s="1"/>
  <c r="I35" i="50"/>
  <c r="I35" i="84" l="1"/>
  <c r="I37" i="84" s="1"/>
  <c r="I38" i="50"/>
  <c r="J34" i="50" s="1"/>
  <c r="J38" i="50" s="1"/>
  <c r="I7" i="84" l="1"/>
  <c r="J34" i="84"/>
  <c r="J37" i="84" s="1"/>
  <c r="J7" i="50"/>
  <c r="J18" i="50" s="1"/>
  <c r="K34" i="50"/>
  <c r="K38" i="50" s="1"/>
  <c r="K7" i="50" s="1"/>
  <c r="K18" i="50" s="1"/>
  <c r="I7" i="50"/>
  <c r="G7" i="75" l="1"/>
  <c r="G16" i="75"/>
  <c r="G18" i="75" s="1"/>
  <c r="G19" i="75" s="1"/>
  <c r="G20" i="75" s="1"/>
  <c r="G22" i="75" s="1"/>
  <c r="I18" i="50"/>
  <c r="I31" i="50" s="1"/>
  <c r="J7" i="84"/>
  <c r="K34" i="84"/>
  <c r="K37" i="84" s="1"/>
  <c r="K7" i="84" s="1"/>
  <c r="G7" i="86"/>
  <c r="I18" i="84"/>
  <c r="I31" i="84" s="1"/>
  <c r="G21" i="75" l="1"/>
  <c r="G25" i="75" s="1"/>
  <c r="G26" i="75" s="1"/>
  <c r="G11" i="86"/>
  <c r="G10" i="86"/>
  <c r="H7" i="86"/>
  <c r="J18" i="84"/>
  <c r="J31" i="84" s="1"/>
  <c r="I7" i="86"/>
  <c r="K18" i="84"/>
  <c r="K31" i="84" s="1"/>
  <c r="G11" i="75"/>
  <c r="G10" i="75"/>
  <c r="G23" i="75" l="1"/>
  <c r="I11" i="86"/>
  <c r="I10" i="86"/>
  <c r="H11" i="86"/>
  <c r="H10" i="86"/>
</calcChain>
</file>

<file path=xl/sharedStrings.xml><?xml version="1.0" encoding="utf-8"?>
<sst xmlns="http://schemas.openxmlformats.org/spreadsheetml/2006/main" count="1646" uniqueCount="750">
  <si>
    <t>Total</t>
  </si>
  <si>
    <t>Particulars</t>
  </si>
  <si>
    <t>Amount</t>
  </si>
  <si>
    <t>Note</t>
  </si>
  <si>
    <t>S No.</t>
  </si>
  <si>
    <t>Land</t>
  </si>
  <si>
    <t>Total Project Cost</t>
  </si>
  <si>
    <t>Total Revenue</t>
  </si>
  <si>
    <t>Interest</t>
  </si>
  <si>
    <t xml:space="preserve">Opening Balance </t>
  </si>
  <si>
    <t>Repayment of Interest</t>
  </si>
  <si>
    <t>Repayment of Principal</t>
  </si>
  <si>
    <t>Closing Balance</t>
  </si>
  <si>
    <t>INR Rupee lacs</t>
  </si>
  <si>
    <t>Total Repayment</t>
  </si>
  <si>
    <t>Rate</t>
  </si>
  <si>
    <t>(Rs. in Lacs)</t>
  </si>
  <si>
    <t>z</t>
  </si>
  <si>
    <t>Term Loan</t>
  </si>
  <si>
    <t>Project Fund Application</t>
  </si>
  <si>
    <t>2022-23</t>
  </si>
  <si>
    <t>2023-24</t>
  </si>
  <si>
    <t>FY 2020-21</t>
  </si>
  <si>
    <t>FY 2021-22</t>
  </si>
  <si>
    <t>FY 2022-23</t>
  </si>
  <si>
    <t>FY 2023-24</t>
  </si>
  <si>
    <t>FY 2024-25</t>
  </si>
  <si>
    <t>2024-25</t>
  </si>
  <si>
    <t>2025-26</t>
  </si>
  <si>
    <t>Disbursement</t>
  </si>
  <si>
    <t>TOTAL</t>
  </si>
  <si>
    <t xml:space="preserve"> </t>
  </si>
  <si>
    <t>Depreciation Chart</t>
  </si>
  <si>
    <t>(INR in Lacs)</t>
  </si>
  <si>
    <t xml:space="preserve">      PARTICULARS</t>
  </si>
  <si>
    <t>Depreciation During the year</t>
  </si>
  <si>
    <t>Furniture &amp; Fixture</t>
  </si>
  <si>
    <t>Plant &amp; Machinery (15%)</t>
  </si>
  <si>
    <t>Finance Cost</t>
  </si>
  <si>
    <t>Projected</t>
  </si>
  <si>
    <t>Profit after tax</t>
  </si>
  <si>
    <t>Financial Year 2023-24(Projected)</t>
  </si>
  <si>
    <t>Financial Year 2024-25(Projected)</t>
  </si>
  <si>
    <t>Financial Year 2025-26(Projected)</t>
  </si>
  <si>
    <t>Amount              (In INR)</t>
  </si>
  <si>
    <t xml:space="preserve">Note 1 - Land </t>
  </si>
  <si>
    <t xml:space="preserve">Land </t>
  </si>
  <si>
    <t>Factory Building</t>
  </si>
  <si>
    <t>Tenure of loan = 7 Yrs</t>
  </si>
  <si>
    <t>FY 2025-26</t>
  </si>
  <si>
    <t>Total Gross block at end</t>
  </si>
  <si>
    <t>Gross Block at beginning</t>
  </si>
  <si>
    <t>Interest - Monthly</t>
  </si>
  <si>
    <t>Door to door tenure = 84 months</t>
  </si>
  <si>
    <t>Principal repayment</t>
  </si>
  <si>
    <t>Per Month</t>
  </si>
  <si>
    <t>FY 2026-27</t>
  </si>
  <si>
    <t>2026-27</t>
  </si>
  <si>
    <t>EBIDTA</t>
  </si>
  <si>
    <t>Depreciation</t>
  </si>
  <si>
    <t>Financial Year 2026-27(Projected)</t>
  </si>
  <si>
    <t>EBITA</t>
  </si>
  <si>
    <t>Earning before Tax</t>
  </si>
  <si>
    <t xml:space="preserve">Source of Funds </t>
  </si>
  <si>
    <t>Debt Service Coverage Ratio</t>
  </si>
  <si>
    <t>Profit before Dep interest and tax</t>
  </si>
  <si>
    <t>Interest and finance cost</t>
  </si>
  <si>
    <t>Principal + Interest Cost</t>
  </si>
  <si>
    <t>Non Current Liabilities</t>
  </si>
  <si>
    <t xml:space="preserve"> Current Liabilities</t>
  </si>
  <si>
    <t>Sundry Creditors</t>
  </si>
  <si>
    <t>Current Maturity of Long Term Debt</t>
  </si>
  <si>
    <t>Total Liabilities</t>
  </si>
  <si>
    <t>Non Current Assets</t>
  </si>
  <si>
    <t>Fixed Assets (Gross Block)</t>
  </si>
  <si>
    <t>Acc. Dep</t>
  </si>
  <si>
    <t>Fixed Assets (Net Block)</t>
  </si>
  <si>
    <t>Other non current assets</t>
  </si>
  <si>
    <t>Current Assets</t>
  </si>
  <si>
    <t>Bank &amp; Cash balance</t>
  </si>
  <si>
    <t>Total Assets</t>
  </si>
  <si>
    <t>Addition</t>
  </si>
  <si>
    <t xml:space="preserve">Less: deletion </t>
  </si>
  <si>
    <t>Closing Capital</t>
  </si>
  <si>
    <t>(Rs. In Lacs)</t>
  </si>
  <si>
    <t>PARTICULARS</t>
  </si>
  <si>
    <t>OPERATING YEARS</t>
  </si>
  <si>
    <t>Total Power Load (100% Capacity Utilisation)</t>
  </si>
  <si>
    <t>1. Connected Load in KW</t>
  </si>
  <si>
    <t>Capacity Utilisation</t>
  </si>
  <si>
    <t>Shift</t>
  </si>
  <si>
    <t>Power Load Requirement</t>
  </si>
  <si>
    <t>Working Days (Power Factor - 0.80)</t>
  </si>
  <si>
    <t>Total Power Requirement (KWH , Load Factor.80)</t>
  </si>
  <si>
    <t>Lightening Load</t>
  </si>
  <si>
    <t>Total Units</t>
  </si>
  <si>
    <t xml:space="preserve">Power Charges (Rs. in Lacs) </t>
  </si>
  <si>
    <t>Nos</t>
  </si>
  <si>
    <t>Statement of Profitability - Project</t>
  </si>
  <si>
    <t xml:space="preserve">Sundry Debtors </t>
  </si>
  <si>
    <t>Rate Rs.  per unit own consumption</t>
  </si>
  <si>
    <t>Contribution</t>
  </si>
  <si>
    <t xml:space="preserve">Statement of Assets &amp; Liabilities - INR </t>
  </si>
  <si>
    <t/>
  </si>
  <si>
    <t>Note 2 - Site Development, Building &amp; Civil Structure</t>
  </si>
  <si>
    <t>Area in sqft</t>
  </si>
  <si>
    <t>Note 3 - Plant and machinery</t>
  </si>
  <si>
    <t xml:space="preserve">Total </t>
  </si>
  <si>
    <t>Building and Site development</t>
  </si>
  <si>
    <t>Plant and machinery</t>
  </si>
  <si>
    <t>Others</t>
  </si>
  <si>
    <t xml:space="preserve">Equity share capital </t>
  </si>
  <si>
    <t>USL</t>
  </si>
  <si>
    <t>Production Capacity &amp; Input-Output Quantums</t>
  </si>
  <si>
    <t>Statement of Operating Expenditures and Raw Material Consumption Costs</t>
  </si>
  <si>
    <t>SALARY AND WAGES:-</t>
  </si>
  <si>
    <t>An estimate of manpower requirement considering   leave, absenteeism,  sickness  and holidays for smooth and efficient operation of different sections  of  the  plant   including   its    administrative  and  commercial departments, has been prepared purely on technician and management ground primarily to indicate the order of manpower requirement, to provide guidelines for  intiating action on recruitment and to make an estimate wages bill,  which will reflect on the production cost estimate.</t>
  </si>
  <si>
    <t>In estimating  the manpower requirement, a proper ratio between the administrative, managerial and supervisory staff has been maintained with a view to affording proper industrial  and professional management at various levels.</t>
  </si>
  <si>
    <t>The detailed  break up of  manpower  and wages has been estimated as under:-</t>
  </si>
  <si>
    <t>SL No.</t>
  </si>
  <si>
    <t>Security Guard</t>
  </si>
  <si>
    <t>Sub-total:</t>
  </si>
  <si>
    <t>Add: Benefit@20%</t>
  </si>
  <si>
    <t>Equity Share Capital</t>
  </si>
  <si>
    <t>Reserves and Surplus</t>
  </si>
  <si>
    <t>Unsecured Loans from Relatives</t>
  </si>
  <si>
    <t>Resrves and Surplus</t>
  </si>
  <si>
    <t>Opening Reserves</t>
  </si>
  <si>
    <t>CC Limit</t>
  </si>
  <si>
    <t>Cost of Sales</t>
  </si>
  <si>
    <t xml:space="preserve">Poultry Sheds - </t>
  </si>
  <si>
    <t>Poultry Equipment</t>
  </si>
  <si>
    <t>Chick Cages</t>
  </si>
  <si>
    <t>Females</t>
  </si>
  <si>
    <t>Males</t>
  </si>
  <si>
    <t>Qty</t>
  </si>
  <si>
    <t>Laying Cages</t>
  </si>
  <si>
    <t>Medicine Costs</t>
  </si>
  <si>
    <t>2027-28</t>
  </si>
  <si>
    <t>FY 2027-28</t>
  </si>
  <si>
    <t>Moratorium = 18 months</t>
  </si>
  <si>
    <t>Principal Repayment = 66 months</t>
  </si>
  <si>
    <t>Growing Month</t>
  </si>
  <si>
    <t>Hatching Eggs per Broiler in 11.50 months</t>
  </si>
  <si>
    <t>Hatching Eggs per Broiler in 1 month</t>
  </si>
  <si>
    <t>Hatching Eggs Produced per Year</t>
  </si>
  <si>
    <t>Commercial Eggs per Broiler in 11.50 months</t>
  </si>
  <si>
    <t>Commercial Eggs per Broiler in 1 month</t>
  </si>
  <si>
    <t>Chicks @85%</t>
  </si>
  <si>
    <t>Sale after FR and WK@ 3%</t>
  </si>
  <si>
    <t>Sale rate per chick</t>
  </si>
  <si>
    <t>A. Revenue from Sale of Chicks</t>
  </si>
  <si>
    <t>Sales Value in  Lacs</t>
  </si>
  <si>
    <t>B. Revenue from Sale of Commercial Eggs</t>
  </si>
  <si>
    <t xml:space="preserve"> Commercial Eggs Produced per Year</t>
  </si>
  <si>
    <t>Sale rate per Egg</t>
  </si>
  <si>
    <t>Revenue from Operations</t>
  </si>
  <si>
    <t>Feed Consumption in kg per growing month</t>
  </si>
  <si>
    <t>Feed Consumption in kg per laying month</t>
  </si>
  <si>
    <t>Feed Consumption in tons for growing months</t>
  </si>
  <si>
    <t>Feed Consumption in tons for laying  months</t>
  </si>
  <si>
    <t>Total feed Consumption in tons</t>
  </si>
  <si>
    <t>Feed rate per ton</t>
  </si>
  <si>
    <t>Feed Consumption in lacs</t>
  </si>
  <si>
    <t>A. Feed Costs</t>
  </si>
  <si>
    <t>B. Medicine Costs</t>
  </si>
  <si>
    <t>Medicine cost for growing months</t>
  </si>
  <si>
    <t>Medicine cost for laying  months</t>
  </si>
  <si>
    <t>Medicine Costs in lacs</t>
  </si>
  <si>
    <t>Medicine Cost in Rs per growing month</t>
  </si>
  <si>
    <t>medicine Cost in Rs per laying month</t>
  </si>
  <si>
    <t>Statement of Profitability</t>
  </si>
  <si>
    <t>Feed Costs</t>
  </si>
  <si>
    <t>C. Bird Purchase</t>
  </si>
  <si>
    <t>Rate per Bird</t>
  </si>
  <si>
    <t>Cost in Lacs</t>
  </si>
  <si>
    <t>Margin%</t>
  </si>
  <si>
    <t>Gross Margins</t>
  </si>
  <si>
    <t>Parent Purchase</t>
  </si>
  <si>
    <t>Interests - TL</t>
  </si>
  <si>
    <t>Interests - CC</t>
  </si>
  <si>
    <t>Overall Cost</t>
  </si>
  <si>
    <t>Schedule of Project Cost - Finance Margin Term Loan</t>
  </si>
  <si>
    <t>Margin %</t>
  </si>
  <si>
    <t>Bank Finance %</t>
  </si>
  <si>
    <t>Mortality</t>
  </si>
  <si>
    <t>FR and WK</t>
  </si>
  <si>
    <t>Project Fund Sources (Excluding Working Capital)</t>
  </si>
  <si>
    <t>D. Vaccine Material Cost</t>
  </si>
  <si>
    <t>Chicks Sold Per Year</t>
  </si>
  <si>
    <t>Dose per Chick</t>
  </si>
  <si>
    <t>Total Doses</t>
  </si>
  <si>
    <t>Rate per Dose in INR</t>
  </si>
  <si>
    <t>E. Packing Material Costs</t>
  </si>
  <si>
    <t>Cost per chick sold in INR</t>
  </si>
  <si>
    <t>F. Carriage Outward Expenses</t>
  </si>
  <si>
    <t>G. Selling Expenses</t>
  </si>
  <si>
    <t>Vaccine Costs</t>
  </si>
  <si>
    <t>Packing Material Expenses</t>
  </si>
  <si>
    <t>Change in Inventory</t>
  </si>
  <si>
    <t>Pre-operative expenses</t>
  </si>
  <si>
    <t>Pre Operative Interests</t>
  </si>
  <si>
    <t>Pre Operative Salary</t>
  </si>
  <si>
    <t>Loan Processing</t>
  </si>
  <si>
    <t>Stamps and Legal Fees</t>
  </si>
  <si>
    <t>Pre-operative Expenses</t>
  </si>
  <si>
    <t>DETAIL OF POWER COSTS</t>
  </si>
  <si>
    <t>Farm Supervisors</t>
  </si>
  <si>
    <t>Projection</t>
  </si>
  <si>
    <t>Store Keeper</t>
  </si>
  <si>
    <t>Accounts Officer</t>
  </si>
  <si>
    <t>Salary Costs</t>
  </si>
  <si>
    <t>Earning before interest depreciation and tax</t>
  </si>
  <si>
    <t>Earning before Interest and Tax</t>
  </si>
  <si>
    <t>Earning before tax</t>
  </si>
  <si>
    <t>Deletion</t>
  </si>
  <si>
    <t>Opening Depreciation</t>
  </si>
  <si>
    <t>Accumalated Depreciation</t>
  </si>
  <si>
    <t>Net Block</t>
  </si>
  <si>
    <t>Intangibles</t>
  </si>
  <si>
    <t>Financial Year 2027-28(Projected)</t>
  </si>
  <si>
    <t xml:space="preserve"> Tax Provision @ 15 % </t>
  </si>
  <si>
    <t xml:space="preserve">Inventories </t>
  </si>
  <si>
    <t>Land at Indore</t>
  </si>
  <si>
    <t>FY 2028-29</t>
  </si>
  <si>
    <t>2028-29</t>
  </si>
  <si>
    <t>Financial Year 2028-29(Projected)</t>
  </si>
  <si>
    <t>Eco Green Breeders</t>
  </si>
  <si>
    <t>M/s Eco Green Breeders</t>
  </si>
  <si>
    <t>Other  current assets</t>
  </si>
  <si>
    <t xml:space="preserve">Interest on Fresh Term Loan </t>
  </si>
  <si>
    <t xml:space="preserve">Interest on Fresh CC </t>
  </si>
  <si>
    <t xml:space="preserve">Secured Loans </t>
  </si>
  <si>
    <t>Batch 1 - 1st January 2023</t>
  </si>
  <si>
    <t>Brooding Months</t>
  </si>
  <si>
    <t xml:space="preserve">Brooder Shed - 5940 (180*33) </t>
  </si>
  <si>
    <t>Grower Shed - 13000 Birds ( 1.265 sqft per bird)</t>
  </si>
  <si>
    <t>Layer Shed - 22000 (2.245 sqft per bird)</t>
  </si>
  <si>
    <t>Feed Godown and Plant (50*50)</t>
  </si>
  <si>
    <t>Generator room (20*15)</t>
  </si>
  <si>
    <t>Wash room Dress Cleaning (20*10)</t>
  </si>
  <si>
    <t>Cold room (20*15)</t>
  </si>
  <si>
    <t>Store  (30*30)</t>
  </si>
  <si>
    <t>Labour quarters 32 (32*150)</t>
  </si>
  <si>
    <t>Supervisor Quarters - 12 quarters of 300 each</t>
  </si>
  <si>
    <t>Overhead Water Tank</t>
  </si>
  <si>
    <t>Mess</t>
  </si>
  <si>
    <t>Gate</t>
  </si>
  <si>
    <t xml:space="preserve">Brooding and Growing  Months </t>
  </si>
  <si>
    <t>first 24 months</t>
  </si>
  <si>
    <t>Rest 42 months</t>
  </si>
  <si>
    <t>Hatching Eggs per Broiler in 11.50 months at max</t>
  </si>
  <si>
    <t>Assumption at % basis</t>
  </si>
  <si>
    <t>Commercial Eggs per Broiler in 11.50 months at max</t>
  </si>
  <si>
    <t xml:space="preserve">Growing Cages </t>
  </si>
  <si>
    <t>Mini Feeders</t>
  </si>
  <si>
    <t>Cages</t>
  </si>
  <si>
    <t>125KVA DG Set Make Cummins</t>
  </si>
  <si>
    <t>Basement Water tank (100000 ltr)</t>
  </si>
  <si>
    <t>Toilet for workers (30*15)</t>
  </si>
  <si>
    <t>Bathroom for workers (30*15)</t>
  </si>
  <si>
    <t>Transformer</t>
  </si>
  <si>
    <t>Environment Control And Ventilation System</t>
  </si>
  <si>
    <t>Loan Repayment Schedule - Term Loan - 495.00 Lacs</t>
  </si>
  <si>
    <t>% conisdered for chicks sale</t>
  </si>
  <si>
    <t>C. Revenue from Sale of slaughtered meat</t>
  </si>
  <si>
    <t>% of hatching eggs  processing of slaughtered meat</t>
  </si>
  <si>
    <t>D. Sale of Culls, manures and empties @ 5%</t>
  </si>
  <si>
    <t>Revenue from Operations (A+B+C+D)</t>
  </si>
  <si>
    <t xml:space="preserve">Net sale </t>
  </si>
  <si>
    <t xml:space="preserve">No. of birds </t>
  </si>
  <si>
    <t>Average weight per bird in kg</t>
  </si>
  <si>
    <t>Sales in Kg</t>
  </si>
  <si>
    <t>Sales rate per kg</t>
  </si>
  <si>
    <t>`</t>
  </si>
  <si>
    <t>Feed Consumption in kg per bird in 40 days</t>
  </si>
  <si>
    <t>Bigha</t>
  </si>
  <si>
    <t>Feed Consumption in tons for slaughter birds</t>
  </si>
  <si>
    <t>medicine Cost in Rs per bird for 40 days</t>
  </si>
  <si>
    <t>medicine Cost 40 days</t>
  </si>
  <si>
    <t>A) Chicks cost</t>
  </si>
  <si>
    <t>B) Meat Costs</t>
  </si>
  <si>
    <t>Meat In Kg</t>
  </si>
  <si>
    <t>Cost per kg</t>
  </si>
  <si>
    <t>Farm  Workers</t>
  </si>
  <si>
    <t>Machine Operator</t>
  </si>
  <si>
    <t>Rs. In lacs</t>
  </si>
  <si>
    <t xml:space="preserve">Net Sales </t>
  </si>
  <si>
    <t>PBT</t>
  </si>
  <si>
    <t>PBT/ Sales (%)</t>
  </si>
  <si>
    <t>Project Equity (Inc USL)</t>
  </si>
  <si>
    <t>Project Outside Liability</t>
  </si>
  <si>
    <t>Project Debt</t>
  </si>
  <si>
    <t>TOL/TNW</t>
  </si>
  <si>
    <t>Debt Equity Ratio</t>
  </si>
  <si>
    <t>Project current assets</t>
  </si>
  <si>
    <t>Project current liabilities</t>
  </si>
  <si>
    <t>Current Ratio including TL installments</t>
  </si>
  <si>
    <t>P&amp;L Reserves</t>
  </si>
  <si>
    <t>50% of Capital Internal Accruals and Res.</t>
  </si>
  <si>
    <t>USL Treated Quasi (Lower of above 2)</t>
  </si>
  <si>
    <t>USL Not treated as Equity</t>
  </si>
  <si>
    <t>TNW (Considering 50% USL As QE)</t>
  </si>
  <si>
    <t>TOL</t>
  </si>
  <si>
    <t>TOL/TNW (Considering 50% USL As QE)</t>
  </si>
  <si>
    <t>Overheads (inc Contract farming)</t>
  </si>
  <si>
    <t>Batch 2 - 1st March 2023</t>
  </si>
  <si>
    <t>Batch 3 - 1st May 2023</t>
  </si>
  <si>
    <t>Batch 4 - 1st  July  2023</t>
  </si>
  <si>
    <t>Batch 5 - 1st February 2024</t>
  </si>
  <si>
    <t>Batch 6 - 1st  April 2024</t>
  </si>
  <si>
    <t>Batch 7 - 1st June 2024</t>
  </si>
  <si>
    <t>Batch 8 - 1st August 2024</t>
  </si>
  <si>
    <t>Batch 9 - 1st March 2025</t>
  </si>
  <si>
    <t>Batch 10 - 1st May2025</t>
  </si>
  <si>
    <t>Batch 11 - 1st July 2025</t>
  </si>
  <si>
    <t>Batch 12 - 1st September 2025</t>
  </si>
  <si>
    <t>Batch 13 - 1st April 2026</t>
  </si>
  <si>
    <t>Batch 14 - 1st June 2026</t>
  </si>
  <si>
    <t>Batch 15 - 1st August 2026</t>
  </si>
  <si>
    <t>Batch 16 - 1st October 2026</t>
  </si>
  <si>
    <t>Batch 17 - 1st May 2027</t>
  </si>
  <si>
    <t>Batch 18 - 1st July 2027</t>
  </si>
  <si>
    <t>Batch 19 - 1st September 2027</t>
  </si>
  <si>
    <t>Batch 20 - 1st November 2027</t>
  </si>
  <si>
    <t>Batch 21 - 1st June 2028</t>
  </si>
  <si>
    <t>Batch 22 - 01st August 2028</t>
  </si>
  <si>
    <t>Batch 23 - 1st October 2028</t>
  </si>
  <si>
    <t>Batch 24 - 1st December 2028</t>
  </si>
  <si>
    <t>Eco Green Breeders Pvt Ltd</t>
  </si>
  <si>
    <t>Project Report Phase 2</t>
  </si>
  <si>
    <t>Land is already acquired by the company and is considered as part of project cost in previous phase and hence is considered nil</t>
  </si>
  <si>
    <t>Audited</t>
  </si>
  <si>
    <t>2021-22</t>
  </si>
  <si>
    <t>Hatching Eggs</t>
  </si>
  <si>
    <t>Parent Bird</t>
  </si>
  <si>
    <t>Rejected Eggs Sale</t>
  </si>
  <si>
    <t>Other Income</t>
  </si>
  <si>
    <t>Freight and loading unloading charges</t>
  </si>
  <si>
    <t>Flock Development Charges</t>
  </si>
  <si>
    <t>Power and Electricity and Fuel</t>
  </si>
  <si>
    <t>Admin and other overheads</t>
  </si>
  <si>
    <t>Farm Expenses</t>
  </si>
  <si>
    <t>Rearing expenses</t>
  </si>
  <si>
    <t>Repairs</t>
  </si>
  <si>
    <t>Bank Charges</t>
  </si>
  <si>
    <t>Bank charges</t>
  </si>
  <si>
    <t>Financial Year 2021-22(Audited)</t>
  </si>
  <si>
    <t>Financial Year 2022-23(Audited)</t>
  </si>
  <si>
    <t>Vehicles</t>
  </si>
  <si>
    <t>Other Current Liablities</t>
  </si>
  <si>
    <t>DTL</t>
  </si>
  <si>
    <t>Schedule of Project Cost - Application of Funds Phase 2</t>
  </si>
  <si>
    <t>Project Fund Application - Phase 2</t>
  </si>
  <si>
    <t>Hatchery Building</t>
  </si>
  <si>
    <t>Main LT Panel</t>
  </si>
  <si>
    <t>Installation Estimate of  cages @ 10 %</t>
  </si>
  <si>
    <t>Hatchery Machinery</t>
  </si>
  <si>
    <t>Other Machinery</t>
  </si>
  <si>
    <t>Note 4 - Pre Operative Expenses</t>
  </si>
  <si>
    <t>Rate of interest = 10 % annualy reducing</t>
  </si>
  <si>
    <t>Loan Repayment Schedule - Term Loan - 650.00 Lacs</t>
  </si>
  <si>
    <t>Last EMI</t>
  </si>
  <si>
    <t>FY 2029-30</t>
  </si>
  <si>
    <t>FY 2030-31</t>
  </si>
  <si>
    <t>Total laying Months per Year Phase 1</t>
  </si>
  <si>
    <t xml:space="preserve">Laying Months Available </t>
  </si>
  <si>
    <t>Laying Months Factor for Phase 2</t>
  </si>
  <si>
    <t>Growing Months Factor for Phase 2</t>
  </si>
  <si>
    <t>Total Growing Months per Year Phase 1 &amp; Phase 2</t>
  </si>
  <si>
    <t>Total Growing Months per Year Phase 1</t>
  </si>
  <si>
    <t>Total Laying Months per Year Phase 1</t>
  </si>
  <si>
    <t>Female birds in Phase 1</t>
  </si>
  <si>
    <t>Factor for Phase 2</t>
  </si>
  <si>
    <t>Selling, Stores and consumables</t>
  </si>
  <si>
    <t>Laying Months Factor for Phase 1</t>
  </si>
  <si>
    <t xml:space="preserve">Total laying Months per Year Phase 1 </t>
  </si>
  <si>
    <t>Growing Months Factor for Phase 1</t>
  </si>
  <si>
    <t>Balance Sheet - Eco Green Breeders Phase 1</t>
  </si>
  <si>
    <t>Eco Green Breeders - Profit and Loss statement - Phase 1</t>
  </si>
  <si>
    <t>Performance And Financial Indicators - Project Ratios - Eco Green Phase 1</t>
  </si>
  <si>
    <t>Balance Sheet - Eco Green Breeders Phase 2</t>
  </si>
  <si>
    <t>Eco Green Breeders - Profit and Loss statement - Phase 2</t>
  </si>
  <si>
    <t>M/s Eco Green Breeders - Phase 2</t>
  </si>
  <si>
    <t>Performance And Financial Indicators - Project Ratios - Eco Green Phase 2</t>
  </si>
  <si>
    <t>Internal Accruals</t>
  </si>
  <si>
    <t>Batch 1 - 1st June 2024</t>
  </si>
  <si>
    <t>Batch 2 - 1st August 2024</t>
  </si>
  <si>
    <t>Batch 5 - 1st July 2025</t>
  </si>
  <si>
    <t>Batch 6 - 1st September 2025</t>
  </si>
  <si>
    <t>Batch 9 - 1st August 2026</t>
  </si>
  <si>
    <t>Batch 10 - 1st October 2026</t>
  </si>
  <si>
    <t>Batch 13 - 1st September 2027</t>
  </si>
  <si>
    <t>Batch 14 - 1st November 2027</t>
  </si>
  <si>
    <t>Batch 17 - 1st October 2028</t>
  </si>
  <si>
    <t>Batch 18 - 1st December 2028</t>
  </si>
  <si>
    <t>Total laying Months per Year Phase 2</t>
  </si>
  <si>
    <t>Batch 3 - 1st October 2024</t>
  </si>
  <si>
    <t>Batch 4 - 1st December 2024</t>
  </si>
  <si>
    <t>Batch 7 - 1st November 2025</t>
  </si>
  <si>
    <t>Batch 8 - 1st january 2026</t>
  </si>
  <si>
    <t>Batch 11 - 1st December 2026</t>
  </si>
  <si>
    <t>Batch 12 - 1st February 2027</t>
  </si>
  <si>
    <t>Batch 15 - 1st January 2028</t>
  </si>
  <si>
    <t>Batch 16 - 01st March 2028</t>
  </si>
  <si>
    <t>Total Growing Months per Year  Phase 2</t>
  </si>
  <si>
    <t xml:space="preserve">Total laying Months per Year Phase 2 </t>
  </si>
  <si>
    <t>Total Growing Months per Year Phase 2</t>
  </si>
  <si>
    <t>Batch 19 - 1st February 2029</t>
  </si>
  <si>
    <t>Female birds in Phase 2</t>
  </si>
  <si>
    <t>Female birds in  Phase 2</t>
  </si>
  <si>
    <t>Male birds in Phase 2</t>
  </si>
  <si>
    <t>Factor for Phase 1</t>
  </si>
  <si>
    <t xml:space="preserve">Female birds in Phase 1 </t>
  </si>
  <si>
    <t xml:space="preserve">Male birds in Phase 1 </t>
  </si>
  <si>
    <t>WC Margin</t>
  </si>
  <si>
    <t>Less: Phase 2</t>
  </si>
  <si>
    <t>Less: Dividends</t>
  </si>
  <si>
    <t>Internal Accruals Phase 1</t>
  </si>
  <si>
    <t>Balance Sheet - Eco Green Breeders Combined</t>
  </si>
  <si>
    <t>Eco Green Breeders - Profit and Loss statement - Combined</t>
  </si>
  <si>
    <t>Assesment of Working Capital Requirements</t>
  </si>
  <si>
    <t xml:space="preserve">                                                Form  -  I I  :  Operating  Statement                                                                                       ( Rs. In lacs )</t>
  </si>
  <si>
    <t>As per Profit &amp; Loss actuals / estimates for the year ended / ending</t>
  </si>
  <si>
    <t>March 31'22</t>
  </si>
  <si>
    <t>March 31'23</t>
  </si>
  <si>
    <t>March 31'24</t>
  </si>
  <si>
    <t>March 31'25</t>
  </si>
  <si>
    <t>Provisional</t>
  </si>
  <si>
    <t>Gross Sales</t>
  </si>
  <si>
    <t>Add other revenue income</t>
  </si>
  <si>
    <t>Less -Service Tax</t>
  </si>
  <si>
    <t>Net Sales  (Item 1 - Item 2 )</t>
  </si>
  <si>
    <t>% age rise ( + ) or fall( - ) in net sales as</t>
  </si>
  <si>
    <t>compaired to previous year (annualised )</t>
  </si>
  <si>
    <t>(I)</t>
  </si>
  <si>
    <t>Raw materials(including stores &amp; spares and</t>
  </si>
  <si>
    <t>other items used in the process of manufacture</t>
  </si>
  <si>
    <t>(a) Imported</t>
  </si>
  <si>
    <t>(b) Indigeneous</t>
  </si>
  <si>
    <t>(ii)</t>
  </si>
  <si>
    <t>Other Spares</t>
  </si>
  <si>
    <t>(iii)</t>
  </si>
  <si>
    <t>Wages</t>
  </si>
  <si>
    <t>Power &amp; Fuel</t>
  </si>
  <si>
    <t>(iv)</t>
  </si>
  <si>
    <t>Other direct expenses</t>
  </si>
  <si>
    <t>(v)</t>
  </si>
  <si>
    <t>(vi)</t>
  </si>
  <si>
    <t>SUB - TOTAL ( I to vi )</t>
  </si>
  <si>
    <t>(vii)</t>
  </si>
  <si>
    <t xml:space="preserve"> Add : Opening stocks - in - process</t>
  </si>
  <si>
    <t>Sub - total</t>
  </si>
  <si>
    <t>(viii)</t>
  </si>
  <si>
    <t>Deduct : Closing stock - in - process</t>
  </si>
  <si>
    <t>Cost  of  Production</t>
  </si>
  <si>
    <t>(ix)</t>
  </si>
  <si>
    <t>Add : Opening stock of Finished goods</t>
  </si>
  <si>
    <t>(x)</t>
  </si>
  <si>
    <t>(xi)</t>
  </si>
  <si>
    <t>Deduct : Closing stock of finished goods</t>
  </si>
  <si>
    <t>SUB - TOTAL ( Total  cost  of  Sales )</t>
  </si>
  <si>
    <t>Gross  Profit</t>
  </si>
  <si>
    <t>G.P. Ratio</t>
  </si>
  <si>
    <t>Selling , general  and  administrative  expenses</t>
  </si>
  <si>
    <t>SUB - TOTAL  ( 5 + 6 )</t>
  </si>
  <si>
    <t>Operating Profit before interest  ( 3 - 7 )</t>
  </si>
  <si>
    <t>Interest &amp; Bank Charges</t>
  </si>
  <si>
    <t>Operating Profit after interest  ( 8 - 9 )</t>
  </si>
  <si>
    <t>Add other non - operative income</t>
  </si>
  <si>
    <t xml:space="preserve">    (a)  Interest recd.</t>
  </si>
  <si>
    <t xml:space="preserve">    (b)  Transportation Receipt</t>
  </si>
  <si>
    <t xml:space="preserve">    (c)  Other  Income</t>
  </si>
  <si>
    <t xml:space="preserve">        Sub - Total  ( Income )</t>
  </si>
  <si>
    <t>Deduct Other non - operative expenses</t>
  </si>
  <si>
    <t xml:space="preserve">    (a)  Loss on sale of fixed assets</t>
  </si>
  <si>
    <t xml:space="preserve">    (B)  other non operative exp. ( Intt. On Partners Capital)</t>
  </si>
  <si>
    <t xml:space="preserve">       Sub - Total  ( Expenses )</t>
  </si>
  <si>
    <t>Net of other non - operating Income / Expenses</t>
  </si>
  <si>
    <t>Profit  before  Tax / Loss  { 10 + 11 (iii) }</t>
  </si>
  <si>
    <t>Provision for Taxes</t>
  </si>
  <si>
    <t>Net  Profit / Loss  { 12 - 13 }</t>
  </si>
  <si>
    <t>(a)</t>
  </si>
  <si>
    <t>Equity dividend paid - amt(already paid + B.S.prov. )</t>
  </si>
  <si>
    <t>(b)</t>
  </si>
  <si>
    <t>Retained Profit</t>
  </si>
  <si>
    <t>PBT/Sales</t>
  </si>
  <si>
    <t xml:space="preserve">FORM   I I I </t>
  </si>
  <si>
    <t>ANALYSIS  OF  BALANCE  SHEET                                           ( Rs. In lacs )</t>
  </si>
  <si>
    <t>As per Balance Sheet as at</t>
  </si>
  <si>
    <t>LIABILITIES</t>
  </si>
  <si>
    <t>CURRENT  LIABILITIES</t>
  </si>
  <si>
    <t>Short -term borrowings fron Banks(incld. Bills purchased</t>
  </si>
  <si>
    <t>discounted &amp; excess borrowing placed on repayment basis)</t>
  </si>
  <si>
    <t>From applicant bank</t>
  </si>
  <si>
    <t>From other banks</t>
  </si>
  <si>
    <t>( c)</t>
  </si>
  <si>
    <t xml:space="preserve"> ( of which BP &amp; BD )</t>
  </si>
  <si>
    <t>Current  Liabilities  from  Banks</t>
  </si>
  <si>
    <r>
      <t>Sub - total (</t>
    </r>
    <r>
      <rPr>
        <b/>
        <sz val="12"/>
        <rFont val="Arial"/>
        <family val="2"/>
      </rPr>
      <t>A</t>
    </r>
    <r>
      <rPr>
        <sz val="12"/>
        <rFont val="Arial"/>
        <family val="2"/>
      </rPr>
      <t>)</t>
    </r>
  </si>
  <si>
    <t>Short term borrowings from others</t>
  </si>
  <si>
    <t>Advance payments from Customers / Depositors, Dealers</t>
  </si>
  <si>
    <t>Provision for taxation</t>
  </si>
  <si>
    <t>Dividends payable</t>
  </si>
  <si>
    <t>Other Statuatory liabilities( due in 1 yr.)</t>
  </si>
  <si>
    <t>Deposits / Instalments of term loans / DPGs / Debentures</t>
  </si>
  <si>
    <t>( due within one year )</t>
  </si>
  <si>
    <t>Other Current liabilities &amp; provisions ( due in 1 year )</t>
  </si>
  <si>
    <t xml:space="preserve"> (specify major items )</t>
  </si>
  <si>
    <t>Other Creditors  ( For capital goods etc.)</t>
  </si>
  <si>
    <t>Exp. Payable</t>
  </si>
  <si>
    <t>Other Liability</t>
  </si>
  <si>
    <t>Other  Current Liabilities</t>
  </si>
  <si>
    <r>
      <t>Sub - total ( B</t>
    </r>
    <r>
      <rPr>
        <b/>
        <sz val="12"/>
        <rFont val="Arial"/>
        <family val="2"/>
      </rPr>
      <t xml:space="preserve"> </t>
    </r>
    <r>
      <rPr>
        <sz val="12"/>
        <rFont val="Arial"/>
        <family val="2"/>
      </rPr>
      <t>)</t>
    </r>
  </si>
  <si>
    <t>Total Current Liabilities { total of 1 to 9 excl 1 (iii) }</t>
  </si>
  <si>
    <t>TERM  LIABILITIES</t>
  </si>
  <si>
    <t>Debentures ( not maturing within 1 year )</t>
  </si>
  <si>
    <t>Preference Shares (reedemable after 1 year )</t>
  </si>
  <si>
    <t>Term Loans</t>
  </si>
  <si>
    <t>Deffered payment Credit excl. instt. Due within 1 year )</t>
  </si>
  <si>
    <t>USL from other</t>
  </si>
  <si>
    <t xml:space="preserve">Other term liabilities </t>
  </si>
  <si>
    <t>Total  Term  Liabilities  { total of items 11 to 16 }</t>
  </si>
  <si>
    <t>TOTAL  OUTSIDE  LIABILITIES  { item 10 + 17 }</t>
  </si>
  <si>
    <t>NET  WORTH</t>
  </si>
  <si>
    <t>Capital</t>
  </si>
  <si>
    <t>General Reserves</t>
  </si>
  <si>
    <t>Security Premium</t>
  </si>
  <si>
    <r>
      <t>Surplus (</t>
    </r>
    <r>
      <rPr>
        <b/>
        <sz val="12"/>
        <rFont val="Arial"/>
        <family val="2"/>
      </rPr>
      <t xml:space="preserve"> +</t>
    </r>
    <r>
      <rPr>
        <sz val="12"/>
        <rFont val="Arial"/>
        <family val="2"/>
      </rPr>
      <t xml:space="preserve"> ) or Defecit(</t>
    </r>
    <r>
      <rPr>
        <b/>
        <sz val="12"/>
        <rFont val="Arial"/>
        <family val="2"/>
      </rPr>
      <t xml:space="preserve"> -</t>
    </r>
    <r>
      <rPr>
        <sz val="12"/>
        <rFont val="Arial"/>
        <family val="2"/>
      </rPr>
      <t xml:space="preserve"> ) in P &amp; L account</t>
    </r>
  </si>
  <si>
    <t>Share Application Money</t>
  </si>
  <si>
    <t>withdrawl</t>
  </si>
  <si>
    <t>TOTAL  LIABILITIES</t>
  </si>
  <si>
    <t>FORM   I I I   (  Continued  )</t>
  </si>
  <si>
    <t>ANALYSIS  OF  BALANCE  SHEET                                                                ( Rs. In lacs )</t>
  </si>
  <si>
    <t>ASSETS</t>
  </si>
  <si>
    <t>CURRENT  ASSETS</t>
  </si>
  <si>
    <t>Cash &amp; Bank Balances</t>
  </si>
  <si>
    <t>Investments ( other than long term investments )</t>
  </si>
  <si>
    <t>Government &amp; other Trustee securities</t>
  </si>
  <si>
    <t>Deposits with Banks</t>
  </si>
  <si>
    <t>Receivables other than Deferred &amp; Export</t>
  </si>
  <si>
    <t>( including bills purchased &amp; discounted by Banks )</t>
  </si>
  <si>
    <t>Export receivables (incl.bills pur. &amp; dis. By Banks )</t>
  </si>
  <si>
    <t>(c)</t>
  </si>
  <si>
    <t>Sales : SIDBI - BRS (Outstanding Bills to be discounted )</t>
  </si>
  <si>
    <t>Installments of deffered receivables ( due within 1 yr.)</t>
  </si>
  <si>
    <t>Inventory</t>
  </si>
  <si>
    <t>Raw materials ( incl. Stores &amp; other items-</t>
  </si>
  <si>
    <t xml:space="preserve"> -used in the process of manufacture )</t>
  </si>
  <si>
    <t>I)  Imported</t>
  </si>
  <si>
    <t>ii) Indigenous</t>
  </si>
  <si>
    <t>Stock - in - process</t>
  </si>
  <si>
    <t>Finished Goods</t>
  </si>
  <si>
    <t>(d)</t>
  </si>
  <si>
    <t>Other consumable spares</t>
  </si>
  <si>
    <t>(e)</t>
  </si>
  <si>
    <t>Fuel and Oil</t>
  </si>
  <si>
    <t>(f)</t>
  </si>
  <si>
    <t>Packing Materials</t>
  </si>
  <si>
    <t>Advances to suppliers of raw materials &amp; stores / spares</t>
  </si>
  <si>
    <t>Advance payment of taxes</t>
  </si>
  <si>
    <t>Other Current assets</t>
  </si>
  <si>
    <t>Sundry Deposits</t>
  </si>
  <si>
    <t>Advance salary etc.</t>
  </si>
  <si>
    <t xml:space="preserve">Other  </t>
  </si>
  <si>
    <t>TOTAL  CURRENT  ASSETS ( total of 26 to 33 )</t>
  </si>
  <si>
    <t>FIXED  ASSETS</t>
  </si>
  <si>
    <t>Gross Block ( land &amp; bldg.,machinery,work in progress )</t>
  </si>
  <si>
    <t>Depretiation to date</t>
  </si>
  <si>
    <t>NET BLOCK ( 35 - 36 )</t>
  </si>
  <si>
    <t>OTHER NON CURRENT ASSETS</t>
  </si>
  <si>
    <t>Investments / book debts / adv. / deposits / which are not</t>
  </si>
  <si>
    <t xml:space="preserve"> (I) Investment in subsidiary companies / affiliates</t>
  </si>
  <si>
    <t xml:space="preserve"> (ii)Others</t>
  </si>
  <si>
    <t>Advances to suppliers of Capital goods &amp; contractors</t>
  </si>
  <si>
    <t>Inter unit a/c</t>
  </si>
  <si>
    <t>Others -</t>
  </si>
  <si>
    <t>Debtors &gt; 6 months</t>
  </si>
  <si>
    <t>Security deposits</t>
  </si>
  <si>
    <t>Deffered Receivable</t>
  </si>
  <si>
    <t>Expansion Fund</t>
  </si>
  <si>
    <t>Other non - current assets incl. dues from Directors</t>
  </si>
  <si>
    <t>TOTAL OTHER NON - CURRENT ASSETS  ( total of 38 to 40 )</t>
  </si>
  <si>
    <t>Intangible assets ( patents, goodwill, prelim.expenses,/DTA</t>
  </si>
  <si>
    <t>bad / doubtful expenses not provided for etc.</t>
  </si>
  <si>
    <t>TOTAL  ASSETS  (  34+37+41+42  )</t>
  </si>
  <si>
    <t xml:space="preserve">               TOTAL LIABILITIES</t>
  </si>
  <si>
    <t>TANGIBLE  NET  WORTH  ( 24 - 42 )</t>
  </si>
  <si>
    <t>NET  WORKING  CAPITAL {( 17+24 ) - ( 37+41+42 )}</t>
  </si>
  <si>
    <t>Current  Ratio</t>
  </si>
  <si>
    <t>Total Outside Liabilities / Tangible Net Worth ( TOL / TNW )</t>
  </si>
  <si>
    <t>Total Term Liabilities / Tangible Net Worth ( TTL / TNW )</t>
  </si>
  <si>
    <t xml:space="preserve"> TOL / TNW (Considering Unsecured Loan as Quasi Equity)</t>
  </si>
  <si>
    <t xml:space="preserve">FORM   I V   </t>
  </si>
  <si>
    <t>COMPARATIVE STATEMENTS OF CURRENT ASSETS &amp; CURRENT LIABILITIES</t>
  </si>
  <si>
    <t xml:space="preserve">Raw materials including stores &amp; other items used in </t>
  </si>
  <si>
    <t>the process of manufacturing</t>
  </si>
  <si>
    <t>Imported</t>
  </si>
  <si>
    <t>: Amount</t>
  </si>
  <si>
    <t>: Month' s consumptions</t>
  </si>
  <si>
    <t>Indigenous</t>
  </si>
  <si>
    <t>Other consumable spares {excl. those incl. in ( 1 ) above}</t>
  </si>
  <si>
    <t>Stock-in-Process</t>
  </si>
  <si>
    <t>: Month' s cost of production</t>
  </si>
  <si>
    <t>: Month' s cost of sales</t>
  </si>
  <si>
    <t>: Month' s Domestic sales( incl deferred payment sales )</t>
  </si>
  <si>
    <t>Export receivables (incl. Bills purchased &amp; discounted )</t>
  </si>
  <si>
    <t>: Month' s Export sales</t>
  </si>
  <si>
    <t>Sales under SIDBI-BRS(o/s bills for discounting)</t>
  </si>
  <si>
    <t>: Month' s SIDBI-BRS sales</t>
  </si>
  <si>
    <t>Adv. to suppliers of materials &amp; stores/spares,consumables</t>
  </si>
  <si>
    <t>Other Current Assets incl. Cash &amp; bank balances &amp; deferred</t>
  </si>
  <si>
    <t>receivables due within one year(specify major items )</t>
  </si>
  <si>
    <t>:Cash &amp; Bank Balance</t>
  </si>
  <si>
    <t>:Invest.except long-term investment of def. Receivables</t>
  </si>
  <si>
    <t>:Others</t>
  </si>
  <si>
    <r>
      <t xml:space="preserve">TOTAL  CURRENT  ASSETS </t>
    </r>
    <r>
      <rPr>
        <b/>
        <sz val="12"/>
        <rFont val="Arial Narrow"/>
        <family val="2"/>
      </rPr>
      <t>( total of items 1 to 9 )</t>
    </r>
  </si>
  <si>
    <t>( other than bank borrowing for working capital )</t>
  </si>
  <si>
    <t>Creditors for purch.of raw materials,stores &amp; consumables</t>
  </si>
  <si>
    <t xml:space="preserve"> -spares</t>
  </si>
  <si>
    <t>: Month' s purchase</t>
  </si>
  <si>
    <t>Advance to customers</t>
  </si>
  <si>
    <t>Statutory Liability</t>
  </si>
  <si>
    <t>Other Current Liabilities - specify major items</t>
  </si>
  <si>
    <t>(a)  S.T borrowings - others</t>
  </si>
  <si>
    <t>(b)  Dividend payable</t>
  </si>
  <si>
    <t>(c ) Instalments of DPS &amp; public deposits</t>
  </si>
  <si>
    <t>(d)  Other current liabilities &amp; provisions</t>
  </si>
  <si>
    <r>
      <t xml:space="preserve">TOTAL OTHER CURRENT  LIABILITIES </t>
    </r>
    <r>
      <rPr>
        <b/>
        <sz val="12"/>
        <rFont val="Arial Narrow"/>
        <family val="2"/>
      </rPr>
      <t>( total of items 11 to 14 )</t>
    </r>
  </si>
  <si>
    <t>FORM  -  V</t>
  </si>
  <si>
    <t xml:space="preserve">PROJECTED  BALANCE  SHEET  METHOD - ASSESSED  BANK  FINANCE  </t>
  </si>
  <si>
    <t>Total  Current  Assets</t>
  </si>
  <si>
    <t>Other  Current  Liabilities</t>
  </si>
  <si>
    <t>Working  Capital  Gap</t>
  </si>
  <si>
    <t>Net  Working  Capital ( Actual / Projected )</t>
  </si>
  <si>
    <t>Assessed  Bank  Finance</t>
  </si>
  <si>
    <t>NWC / TCA  ( % )</t>
  </si>
  <si>
    <t>OCL / TCA ( % )</t>
  </si>
  <si>
    <t>Sundry  Creditors / TCA  ( % )</t>
  </si>
  <si>
    <t>ABF / TCA ( % )</t>
  </si>
  <si>
    <t>Inventory / Net  Sales ( Days )</t>
  </si>
  <si>
    <t>Receivables / Gross  Sales ( Days )</t>
  </si>
  <si>
    <t>Sundry  Creditors / Purchases   ( Days )</t>
  </si>
  <si>
    <t>FORM  -  V I</t>
  </si>
  <si>
    <t>FUND  FLOW  STATEMENT                                                           ( Rs. In lacs )</t>
  </si>
  <si>
    <t>SOURCES</t>
  </si>
  <si>
    <t>a)</t>
  </si>
  <si>
    <t>Net  Profit  (after  tax )</t>
  </si>
  <si>
    <t>b)</t>
  </si>
  <si>
    <t>c)</t>
  </si>
  <si>
    <t>Increase  in  Capital</t>
  </si>
  <si>
    <t>d)</t>
  </si>
  <si>
    <t>Increase in Term Liabilities  ( incliding  public  deposits )</t>
  </si>
  <si>
    <t>e)</t>
  </si>
  <si>
    <t>Decrease in  :</t>
  </si>
  <si>
    <t xml:space="preserve"> I) Fixed  Assets</t>
  </si>
  <si>
    <t>ii) Other  non - current assets</t>
  </si>
  <si>
    <t>f)</t>
  </si>
  <si>
    <t xml:space="preserve">g)  </t>
  </si>
  <si>
    <t>Extra-ordinary item</t>
  </si>
  <si>
    <t>h)</t>
  </si>
  <si>
    <t>USES</t>
  </si>
  <si>
    <t>Net  Loss</t>
  </si>
  <si>
    <t>Decrease in Term Liabilities ( including public  deposits )</t>
  </si>
  <si>
    <t>Increase  in :</t>
  </si>
  <si>
    <t>I)  Fixed  Assets</t>
  </si>
  <si>
    <t>ii) Depreciation  Adjustment</t>
  </si>
  <si>
    <t>iii)Other  non - current assets</t>
  </si>
  <si>
    <t xml:space="preserve"> increase in Intaing. Assets</t>
  </si>
  <si>
    <t>Dividend  Payment</t>
  </si>
  <si>
    <t>(DTL)</t>
  </si>
  <si>
    <t>g)</t>
  </si>
  <si>
    <t>Long  Term  Surplus / Deficit</t>
  </si>
  <si>
    <t>Diff. In w/c</t>
  </si>
  <si>
    <t xml:space="preserve">Increase  /  Decrease  in Current  Assets * </t>
  </si>
  <si>
    <t>( as per details given below )</t>
  </si>
  <si>
    <t>Increase  /  Decrease  in Current  Liabilities</t>
  </si>
  <si>
    <t>( other  than  bank  borrowings )</t>
  </si>
  <si>
    <t xml:space="preserve">Increase  /  Decrease  in Working  Capital  Gap </t>
  </si>
  <si>
    <t>Net  Surplus ( + )  /  ( - )</t>
  </si>
  <si>
    <t xml:space="preserve">Increase  /  Decrease  in Bank  Borrowings </t>
  </si>
  <si>
    <t>INCREASE  /  DECREASE  IN NET  SALES</t>
  </si>
  <si>
    <t>* Break - up of  ( 4 )</t>
  </si>
  <si>
    <t xml:space="preserve">Increase  /  Decrease  in Raw  materials </t>
  </si>
  <si>
    <t xml:space="preserve">Increase  /  Decrease  in Stock -in - process </t>
  </si>
  <si>
    <t xml:space="preserve">Increase  /  Decrease  in Finished  goods </t>
  </si>
  <si>
    <t>Increase  /  Decrease  in Receivables  I) Domestic</t>
  </si>
  <si>
    <t xml:space="preserve">                                                       ii) Export</t>
  </si>
  <si>
    <t xml:space="preserve">Increase  /  Decrease  in Stores &amp; Spares </t>
  </si>
  <si>
    <t xml:space="preserve">Increase  /  Decrease  in Other Current  Assets  </t>
  </si>
  <si>
    <t>PERFORMANCE  AND  FINANCIAL  INDICATORS</t>
  </si>
  <si>
    <t>Net  Sales</t>
  </si>
  <si>
    <t>PAT</t>
  </si>
  <si>
    <t>PAT / Net Sales ( % )</t>
  </si>
  <si>
    <t>Paid  up  Capital</t>
  </si>
  <si>
    <t>TNW</t>
  </si>
  <si>
    <t>TOL / TNW</t>
  </si>
  <si>
    <t>CR</t>
  </si>
  <si>
    <t>PBT / TTA  ( % )</t>
  </si>
  <si>
    <t xml:space="preserve">Net  Sales / TTA  </t>
  </si>
  <si>
    <t>Operating  Expenses / Net  Sales ( % )</t>
  </si>
  <si>
    <t>BB / TTA  ( % )</t>
  </si>
  <si>
    <t>Inv. + Rec. /  Net  sales  ( days )</t>
  </si>
  <si>
    <t>Cash Accruals</t>
  </si>
  <si>
    <t>NWC</t>
  </si>
  <si>
    <t>PBDIT/TTA</t>
  </si>
  <si>
    <t>(R0CE)</t>
  </si>
  <si>
    <t xml:space="preserve">               PBDIT/INTT</t>
  </si>
  <si>
    <t>PBT/NET SALES</t>
  </si>
  <si>
    <t xml:space="preserve">Operating  Expenses </t>
  </si>
  <si>
    <t xml:space="preserve">Inv. + Rec. </t>
  </si>
  <si>
    <t xml:space="preserve">BB </t>
  </si>
  <si>
    <t>PBDIT</t>
  </si>
  <si>
    <t>ASSESSMENT  OF  WORKING  CAPITAL  REQUIREMENT  UNDER  PBS  METHOD</t>
  </si>
  <si>
    <t>NWC  ( Actual  /  Projected )</t>
  </si>
  <si>
    <t>Assessed  Bank  Finance  ( ABF )</t>
  </si>
  <si>
    <t>NWC  /  TCA ( % )</t>
  </si>
  <si>
    <t>OCL  /  TCA  ( % )</t>
  </si>
  <si>
    <t>Sundry Creditors / TCA  ( % )</t>
  </si>
  <si>
    <t>ABF  /  TCA  ( % )</t>
  </si>
  <si>
    <t>Inventories  /  Net  Sales ( Days )</t>
  </si>
  <si>
    <t>Receivables  /  Gross  Sales  ( Days )</t>
  </si>
  <si>
    <t>Sundry  Creditors  /  Purchases  ( Days )</t>
  </si>
  <si>
    <t>Gross  Sales</t>
  </si>
  <si>
    <t>Receivables</t>
  </si>
  <si>
    <t>Purchases</t>
  </si>
  <si>
    <t>Sundry  Creditors</t>
  </si>
  <si>
    <t>March 31'26</t>
  </si>
  <si>
    <t>M/s Eco Green Breeders Private Limited</t>
  </si>
  <si>
    <t>2029-30</t>
  </si>
  <si>
    <t>2030-31</t>
  </si>
  <si>
    <t>Financial Year 2029-30(Projected)</t>
  </si>
  <si>
    <t>Financial Year 2030-31(Projected)</t>
  </si>
  <si>
    <t>Next 41 months</t>
  </si>
  <si>
    <t>Batch 20 - 1st April 2029</t>
  </si>
  <si>
    <t>Batch 21 - 1st November 2029</t>
  </si>
  <si>
    <t>Batch 22 - 1st january 2030</t>
  </si>
  <si>
    <t>Batch 23 - 1st march 2030</t>
  </si>
  <si>
    <t>Batch 24 - 1st may 2030</t>
  </si>
  <si>
    <t>Batch 25 - 1st December 2030</t>
  </si>
  <si>
    <t>Batch 26 - 1st February 2031</t>
  </si>
  <si>
    <t>2030-3</t>
  </si>
  <si>
    <t>Batch 25 - 1st July2029</t>
  </si>
  <si>
    <t>Batch 26 - 1st September 2029</t>
  </si>
  <si>
    <t>Batch 27 - 1st November 2029</t>
  </si>
  <si>
    <t>Batch 28 - 1st January 2030</t>
  </si>
  <si>
    <t>Batch 29 - 1st August 2030</t>
  </si>
  <si>
    <t>Batch 29 - 1st October 2030</t>
  </si>
  <si>
    <t>Batch 30 - 1st December 2030</t>
  </si>
  <si>
    <t>Batch 31 - 1st February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</si>
</sst>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7">
    <numFmt numFmtId="41" formatCode="_ * #,##0_ ;_ * \-#,##0_ ;_ * &quot;-&quot;_ ;_ @_ "/>
    <numFmt numFmtId="43" formatCode="_ * #,##0.00_ ;_ * \-#,##0.00_ ;_ * &quot;-&quot;??_ ;_ @_ "/>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quot;Rs.&quot;\ #,##0;&quot;Rs.&quot;\ \-#,##0"/>
    <numFmt numFmtId="171" formatCode="_(* #,##0_);_(* \(#,##0\);_(* &quot;-&quot;??_);_(@_)"/>
    <numFmt numFmtId="172" formatCode="_(* #,##0.0_);_(* \(#,##0.0\);_(* &quot;-&quot;??_);_(@_)"/>
    <numFmt numFmtId="173" formatCode="_(* #,##0.000_);_(* \(#,##0.000\);_(* &quot;-&quot;??_);_(@_)"/>
    <numFmt numFmtId="174" formatCode="_(* #,##0.0000_);_(* \(#,##0.0000\);_(* &quot;-&quot;??_);_(@_)"/>
    <numFmt numFmtId="175" formatCode="\$\ #,##0;[Red]\(\$\ #,##0\);0"/>
    <numFmt numFmtId="176" formatCode="#,##0;[Red]\(#,##0\);0"/>
    <numFmt numFmtId="177" formatCode="0.0%;[Red]\(0.0%\);0.0%"/>
    <numFmt numFmtId="178" formatCode="#,##0.0"/>
    <numFmt numFmtId="179" formatCode="&quot;L.&quot;\ #,##0;[Red]\-&quot;L.&quot;\ #,##0"/>
    <numFmt numFmtId="180" formatCode="0.00_)"/>
    <numFmt numFmtId="181" formatCode="#,##0.00_ ;[Red]\-#,##0.00;\-"/>
    <numFmt numFmtId="182" formatCode="&quot;$&quot;#,##0.00;[Red]\-&quot;$&quot;#,##0.00"/>
    <numFmt numFmtId="183" formatCode="#,##0;[Red]\(#,##0\)"/>
    <numFmt numFmtId="184" formatCode="0.0%"/>
    <numFmt numFmtId="185" formatCode="\ \ @\ \ "/>
    <numFmt numFmtId="186" formatCode="0.0000000"/>
    <numFmt numFmtId="187" formatCode="_(* #,##0.000000000_);_(* \(#,##0.000000000\);_(* &quot;-&quot;??_);_(@_)"/>
    <numFmt numFmtId="188" formatCode="&quot;Rs.&quot;#,##0.00_);\(&quot;Rs.&quot;#,##0.00\)"/>
    <numFmt numFmtId="189" formatCode="General_)"/>
    <numFmt numFmtId="190" formatCode="0.000"/>
    <numFmt numFmtId="191" formatCode="_(* #,##0.000_);_(* \(#,##0.000\);_(* &quot;-&quot;_);_(@_)"/>
    <numFmt numFmtId="192" formatCode="_ * #,##0.00_)&quot;£&quot;_ ;_ * \(#,##0.00\)&quot;£&quot;_ ;_ * &quot;-&quot;??_)&quot;£&quot;_ ;_ @_ "/>
    <numFmt numFmtId="193" formatCode="_(* #,##0.00_);_(* \(#,##0.00\);_(* &quot;-&quot;_);_(@_)"/>
    <numFmt numFmtId="194" formatCode="_ * #,##0.00_)_£_ ;_ * \(#,##0.00\)_£_ ;_ * &quot;-&quot;??_)_£_ ;_ @_ "/>
    <numFmt numFmtId="195" formatCode="&quot;&quot;0&quot; Cr&quot;"/>
    <numFmt numFmtId="196" formatCode="d\-mmm\-yyyy"/>
    <numFmt numFmtId="197" formatCode="_(* #,##0_);_(* \(#,##0\);_(* \-??_);_(@_)"/>
    <numFmt numFmtId="198" formatCode="[$-409]mmmm\ d\,\ yyyy;@"/>
    <numFmt numFmtId="199" formatCode="[h]"/>
    <numFmt numFmtId="200" formatCode="0_);\(0\)"/>
    <numFmt numFmtId="201" formatCode="#,##0.0_);\(#,##0.0\)"/>
    <numFmt numFmtId="202" formatCode="_-* #,##0.00_-;\-* #,##0.00_-;_-* \-??_-;_-@_-"/>
    <numFmt numFmtId="203" formatCode="_(* #,##0.00_);_(* \(#,##0.00\);_(* \-??_);_(@_)"/>
    <numFmt numFmtId="204" formatCode="_-* #,##0.00_-;\-* #,##0.00_-;_-* &quot;-&quot;??_-;_-@_-"/>
    <numFmt numFmtId="205" formatCode="&quot;&quot;0.00"/>
    <numFmt numFmtId="206" formatCode="_(* #,##0.000_);_(* \(#,##0.000\);_(* &quot;-&quot;???_);_(@_)"/>
    <numFmt numFmtId="207" formatCode="_ &quot;₪&quot;\ * #,##0_ ;_ &quot;₪&quot;\ * \-#,##0_ ;_ &quot;₪&quot;\ * &quot;-&quot;_ ;_ @_ "/>
    <numFmt numFmtId="208" formatCode="\$#,##0"/>
    <numFmt numFmtId="209" formatCode="&quot;ß&quot;#,##0_);[Red]\(&quot;ß&quot;#,##0\)"/>
    <numFmt numFmtId="210" formatCode="_-* #,##0\ _D_M_-;\-* #,##0\ _D_M_-;_-* &quot;-&quot;\ _D_M_-;_-@_-"/>
    <numFmt numFmtId="211" formatCode="_-* #,##0.00\ _D_M_-;\-* #,##0.00\ _D_M_-;_-* &quot;-&quot;??\ _D_M_-;_-@_-"/>
    <numFmt numFmtId="212" formatCode="#,##0;\(#,##0\)"/>
    <numFmt numFmtId="213" formatCode="\$#,##0_);\$\(#,##0\);\$0_);@"/>
    <numFmt numFmtId="214" formatCode="\$#,##0.00_);\$\(#,##0.00\);\$0.00_);@"/>
    <numFmt numFmtId="215" formatCode="_ [$€-2]\ * #,##0.00_ ;_ [$€-2]\ * \-#,##0.00_ ;_ [$€-2]\ * \-??_ "/>
    <numFmt numFmtId="216" formatCode="\ß#,##0_);[Red]&quot;(ß&quot;#,##0\)"/>
    <numFmt numFmtId="217" formatCode="##0.00"/>
    <numFmt numFmtId="218" formatCode="_([$INR]\ * #,##0_);_([$INR]\ * \(#,##0\);_([$INR]\ * \-_);_(@_)"/>
    <numFmt numFmtId="219" formatCode="0.0"/>
    <numFmt numFmtId="220" formatCode="_ * #,##0_ ;_ * \-#,##0_ ;_ * \-_ ;_ @_ "/>
    <numFmt numFmtId="221" formatCode="_ * #,##0.00_ ;_ * \-#,##0.00_ ;_ * \-??_ ;_ @_ "/>
    <numFmt numFmtId="222" formatCode="_-* #,##0\ _F_-;\-* #,##0\ _F_-;_-* &quot;-&quot;\ _F_-;_-@_-"/>
    <numFmt numFmtId="223" formatCode="_-* #,##0.00\ _F_-;\-* #,##0.00\ _F_-;_-* &quot;-&quot;??\ _F_-;_-@_-"/>
    <numFmt numFmtId="224" formatCode="_ &quot;$ &quot;* #,##0_ ;_ &quot;$ &quot;* \-#,##0_ ;_ &quot;$ &quot;* \-_ ;_ @_ "/>
    <numFmt numFmtId="225" formatCode="_ &quot;$ &quot;* #,##0.00_ ;_ &quot;$ &quot;* \-#,##0.00_ ;_ &quot;$ &quot;* \-??_ ;_ @_ "/>
    <numFmt numFmtId="226" formatCode="_-* #,##0\ &quot;F&quot;_-;\-* #,##0\ &quot;F&quot;_-;_-* &quot;-&quot;\ &quot;F&quot;_-;_-@_-"/>
    <numFmt numFmtId="227" formatCode="_-* #,##0.00\ &quot;F&quot;_-;\-* #,##0.00\ &quot;F&quot;_-;_-* &quot;-&quot;??\ &quot;F&quot;_-;_-@_-"/>
    <numFmt numFmtId="228" formatCode="_(#,##0.00\ \x_);\(#,##0.00\ \x\);0.00\ \x_)"/>
    <numFmt numFmtId="229" formatCode="0.0000000000"/>
    <numFmt numFmtId="230" formatCode="0.00_);\(0.00\)"/>
    <numFmt numFmtId="231" formatCode="#,##0.000000_);\(#,##0.000000\)"/>
    <numFmt numFmtId="232" formatCode="#,##0.00_);\(#,##0.00\);0.00_)"/>
    <numFmt numFmtId="233" formatCode="#,##0_);\(#,##0\);0_);@"/>
    <numFmt numFmtId="234" formatCode="#,##0_);\(#,##0\);0_)"/>
    <numFmt numFmtId="235" formatCode="* _(#,##0.0_);* \(#,##0.0\);* _(0.0_);* @_)"/>
    <numFmt numFmtId="236" formatCode="&quot;R&quot;\ #,##0;[Red]\(&quot;R&quot;\ #,##0\);0"/>
    <numFmt numFmtId="237" formatCode="#,##0.000"/>
    <numFmt numFmtId="238" formatCode="#,##0.000_);\(#,##0.000\)"/>
    <numFmt numFmtId="239" formatCode="#,##0\ &quot;F&quot;;[Red]\-#,##0\ &quot;F&quot;"/>
    <numFmt numFmtId="240" formatCode="#,##0.00\ &quot;F&quot;;\-#,##0.00\ &quot;F&quot;"/>
    <numFmt numFmtId="241" formatCode="0.00\x"/>
    <numFmt numFmtId="242" formatCode="_-* #,##0_-;\-* #,##0_-;_-* \-_-;_-@_-"/>
    <numFmt numFmtId="243" formatCode="#,##0.0_);\(#,##0.0\);\-_);@_)"/>
    <numFmt numFmtId="244" formatCode="_-\$* #,##0_-;&quot;-$&quot;* #,##0_-;_-\$* \-_-;_-@_-"/>
    <numFmt numFmtId="245" formatCode="_-\$* #,##0.00_-;&quot;-$&quot;* #,##0.00_-;_-\$* \-??_-;_-@_-"/>
    <numFmt numFmtId="246" formatCode="#,##0&quot; DM&quot;;[Red]\-#,##0&quot; DM&quot;"/>
    <numFmt numFmtId="247" formatCode="#,##0.00&quot; DM&quot;;[Red]\-#,##0.00&quot; DM&quot;"/>
    <numFmt numFmtId="248" formatCode="_-* #,##0\ &quot;DM&quot;_-;\-* #,##0\ &quot;DM&quot;_-;_-* &quot;-&quot;\ &quot;DM&quot;_-;_-@_-"/>
    <numFmt numFmtId="249" formatCode="_-* #,##0.00\ &quot;DM&quot;_-;\-* #,##0.00\ &quot;DM&quot;_-;_-* &quot;-&quot;??\ &quot;DM&quot;_-;_-@_-"/>
    <numFmt numFmtId="250" formatCode="\$#,##0\ ;\(\$#,##0\)"/>
    <numFmt numFmtId="251" formatCode="&quot;\&quot;#,##0.00;[Red]&quot;\&quot;\-#,##0.00"/>
    <numFmt numFmtId="252" formatCode="&quot;\&quot;#,##0;[Red]&quot;\&quot;\-#,##0"/>
    <numFmt numFmtId="253" formatCode="0_)"/>
    <numFmt numFmtId="254" formatCode="&quot;\&quot;#,##0;[Red]&quot;\&quot;&quot;\&quot;\-#,##0"/>
    <numFmt numFmtId="255" formatCode="&quot;\&quot;#,##0.00;[Red]&quot;\&quot;&quot;\&quot;&quot;\&quot;&quot;\&quot;&quot;\&quot;&quot;\&quot;\-#,##0.00"/>
    <numFmt numFmtId="256" formatCode="_-&quot;$&quot;* #,##0_-;\-&quot;$&quot;* #,##0_-;_-&quot;$&quot;* &quot;-&quot;_-;_-@_-"/>
    <numFmt numFmtId="257" formatCode="0.00;[Red]0.00"/>
    <numFmt numFmtId="258" formatCode="_(* #,##0.00000_);_(* \(#,##0.00000\);_(* &quot;-&quot;??_);_(@_)"/>
  </numFmts>
  <fonts count="168">
    <font>
      <sz val="11"/>
      <color theme="1"/>
      <name val="Calibri"/>
      <family val="2"/>
      <scheme val="minor"/>
    </font>
    <font>
      <sz val="11"/>
      <color theme="1"/>
      <name val="Calibri"/>
      <family val="2"/>
      <scheme val="minor"/>
    </font>
    <font>
      <b/>
      <sz val="11"/>
      <color theme="1"/>
      <name val="Palatino Linotype"/>
      <family val="1"/>
    </font>
    <font>
      <sz val="11"/>
      <color theme="1"/>
      <name val="Palatino Linotype"/>
      <family val="1"/>
    </font>
    <font>
      <b/>
      <sz val="11"/>
      <color theme="0"/>
      <name val="Palatino Linotype"/>
      <family val="1"/>
    </font>
    <font>
      <b/>
      <sz val="14"/>
      <color theme="0"/>
      <name val="Palatino Linotype"/>
      <family val="1"/>
    </font>
    <font>
      <b/>
      <sz val="11"/>
      <name val="Palatino Linotype"/>
      <family val="1"/>
    </font>
    <font>
      <sz val="14"/>
      <color theme="1"/>
      <name val="Palatino Linotype"/>
      <family val="1"/>
    </font>
    <font>
      <sz val="11"/>
      <name val="Palatino Linotype"/>
      <family val="1"/>
    </font>
    <font>
      <sz val="10"/>
      <name val="Helv"/>
      <charset val="204"/>
    </font>
    <font>
      <sz val="10"/>
      <name val="Times New Roman"/>
      <family val="1"/>
    </font>
    <font>
      <sz val="10"/>
      <name val="Book Antiqua"/>
      <family val="1"/>
    </font>
    <font>
      <sz val="10"/>
      <name val="Arial"/>
      <family val="2"/>
    </font>
    <font>
      <sz val="11"/>
      <name val="?? ??"/>
      <family val="1"/>
      <charset val="128"/>
    </font>
    <font>
      <sz val="14"/>
      <name val="Terminal"/>
      <family val="3"/>
      <charset val="128"/>
    </font>
    <font>
      <sz val="11"/>
      <name val="__ _____"/>
      <family val="1"/>
    </font>
    <font>
      <sz val="12"/>
      <name val="Helv"/>
    </font>
    <font>
      <sz val="12"/>
      <name val="Times New Roman"/>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color indexed="8"/>
      <name val="Arial"/>
      <family val="2"/>
    </font>
    <font>
      <sz val="10"/>
      <name val="Helv"/>
      <family val="2"/>
    </font>
    <font>
      <sz val="12"/>
      <name val="¹ÙÅÁÃ¼"/>
      <charset val="129"/>
    </font>
    <font>
      <sz val="11"/>
      <color indexed="8"/>
      <name val="Calibri"/>
      <family val="2"/>
    </font>
    <font>
      <sz val="11"/>
      <color indexed="9"/>
      <name val="Calibri"/>
      <family val="2"/>
    </font>
    <font>
      <sz val="12"/>
      <name val="Book Antiqua"/>
      <family val="1"/>
    </font>
    <font>
      <u/>
      <sz val="10"/>
      <name val="Arial"/>
      <family val="2"/>
    </font>
    <font>
      <sz val="8"/>
      <name val="Tahoma"/>
      <family val="2"/>
    </font>
    <font>
      <sz val="8"/>
      <name val="Times New Roman"/>
      <family val="1"/>
    </font>
    <font>
      <sz val="11"/>
      <color indexed="20"/>
      <name val="Calibri"/>
      <family val="2"/>
    </font>
    <font>
      <sz val="12"/>
      <name val="Tms Rmn"/>
    </font>
    <font>
      <sz val="8"/>
      <name val="Verdana"/>
      <family val="2"/>
    </font>
    <font>
      <b/>
      <sz val="10"/>
      <name val="MS Sans Serif"/>
      <family val="2"/>
    </font>
    <font>
      <sz val="10"/>
      <name val="Courier"/>
      <family val="3"/>
    </font>
    <font>
      <sz val="12"/>
      <name val="±¼¸²Ã¼"/>
      <charset val="129"/>
    </font>
    <font>
      <sz val="9"/>
      <name val="Times New Roman"/>
      <family val="1"/>
    </font>
    <font>
      <b/>
      <sz val="11"/>
      <color indexed="52"/>
      <name val="Calibri"/>
      <family val="2"/>
    </font>
    <font>
      <b/>
      <sz val="10"/>
      <name val="Helv"/>
    </font>
    <font>
      <b/>
      <sz val="11"/>
      <color indexed="9"/>
      <name val="Calibri"/>
      <family val="2"/>
    </font>
    <font>
      <sz val="10"/>
      <color indexed="8"/>
      <name val="Impact"/>
      <family val="2"/>
    </font>
    <font>
      <b/>
      <sz val="12"/>
      <name val="Arial"/>
      <family val="2"/>
    </font>
    <font>
      <sz val="12"/>
      <name val="Arial"/>
      <family val="2"/>
    </font>
    <font>
      <sz val="9"/>
      <color indexed="8"/>
      <name val="Tahoma"/>
      <family val="2"/>
    </font>
    <font>
      <sz val="10"/>
      <name val="Helv"/>
    </font>
    <font>
      <sz val="10"/>
      <name val="MS Serif"/>
      <family val="1"/>
    </font>
    <font>
      <sz val="8"/>
      <color indexed="12"/>
      <name val="Tms Rmn"/>
    </font>
    <font>
      <sz val="12"/>
      <name val="HP-TIMES"/>
    </font>
    <font>
      <sz val="12"/>
      <color indexed="12"/>
      <name val="Arial"/>
      <family val="2"/>
    </font>
    <font>
      <sz val="11"/>
      <name val="Book Antiqua"/>
      <family val="1"/>
    </font>
    <font>
      <sz val="1"/>
      <color indexed="8"/>
      <name val="Courier"/>
      <family val="3"/>
    </font>
    <font>
      <sz val="10"/>
      <color indexed="24"/>
      <name val="Arial"/>
      <family val="2"/>
    </font>
    <font>
      <sz val="10"/>
      <name val="MS Sans Serif"/>
      <family val="2"/>
    </font>
    <font>
      <sz val="10"/>
      <name val="Tms Rmn"/>
    </font>
    <font>
      <sz val="12"/>
      <name val="Tms Rmn"/>
      <charset val="177"/>
    </font>
    <font>
      <sz val="10"/>
      <color indexed="16"/>
      <name val="MS Serif"/>
      <family val="1"/>
    </font>
    <font>
      <i/>
      <sz val="11"/>
      <color indexed="23"/>
      <name val="Calibri"/>
      <family val="2"/>
    </font>
    <font>
      <sz val="11"/>
      <color indexed="17"/>
      <name val="Calibri"/>
      <family val="2"/>
    </font>
    <font>
      <b/>
      <i/>
      <sz val="12"/>
      <color indexed="39"/>
      <name val="Arial"/>
      <family val="2"/>
    </font>
    <font>
      <b/>
      <sz val="8"/>
      <color indexed="8"/>
      <name val="Tahoma"/>
      <family val="2"/>
    </font>
    <font>
      <b/>
      <sz val="8"/>
      <color indexed="9"/>
      <name val="Tahoma"/>
      <family val="2"/>
    </font>
    <font>
      <b/>
      <u/>
      <sz val="8"/>
      <color indexed="8"/>
      <name val="Tahoma"/>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17"/>
      <name val="Arial"/>
      <family val="2"/>
    </font>
    <font>
      <sz val="11"/>
      <color indexed="8"/>
      <name val="Times New Roman"/>
      <family val="1"/>
    </font>
    <font>
      <sz val="10"/>
      <name val="Geneva"/>
      <family val="2"/>
    </font>
    <font>
      <b/>
      <sz val="14"/>
      <name val="HP-TIMES"/>
    </font>
    <font>
      <sz val="11"/>
      <color indexed="52"/>
      <name val="Calibri"/>
      <family val="2"/>
    </font>
    <font>
      <b/>
      <sz val="10"/>
      <name val="Times New Roman"/>
      <family val="1"/>
    </font>
    <font>
      <b/>
      <sz val="11"/>
      <name val="Helv"/>
    </font>
    <font>
      <b/>
      <sz val="10"/>
      <color indexed="17"/>
      <name val="Arial"/>
      <family val="2"/>
    </font>
    <font>
      <sz val="11"/>
      <color indexed="60"/>
      <name val="Calibri"/>
      <family val="2"/>
    </font>
    <font>
      <sz val="11"/>
      <color indexed="12"/>
      <name val="David"/>
      <family val="2"/>
      <charset val="177"/>
    </font>
    <font>
      <sz val="7"/>
      <name val="Small Fonts"/>
      <family val="2"/>
    </font>
    <font>
      <b/>
      <sz val="8"/>
      <color indexed="23"/>
      <name val="Verdana"/>
      <family val="2"/>
    </font>
    <font>
      <b/>
      <i/>
      <sz val="16"/>
      <name val="Helv"/>
    </font>
    <font>
      <sz val="8"/>
      <color indexed="17"/>
      <name val="Tms Rmn"/>
    </font>
    <font>
      <sz val="6"/>
      <name val="Courier"/>
      <family val="3"/>
    </font>
    <font>
      <sz val="10"/>
      <name val="Draft 12cpi"/>
      <family val="3"/>
    </font>
    <font>
      <sz val="10"/>
      <color theme="1"/>
      <name val="Arial"/>
      <family val="2"/>
    </font>
    <font>
      <b/>
      <sz val="11"/>
      <color indexed="63"/>
      <name val="Calibri"/>
      <family val="2"/>
    </font>
    <font>
      <b/>
      <i/>
      <sz val="11"/>
      <color indexed="8"/>
      <name val="Times New Roman"/>
      <family val="1"/>
    </font>
    <font>
      <b/>
      <sz val="11"/>
      <color indexed="16"/>
      <name val="Times New Roman"/>
      <family val="1"/>
    </font>
    <font>
      <b/>
      <sz val="22"/>
      <color indexed="8"/>
      <name val="Times New Roman"/>
      <family val="1"/>
    </font>
    <font>
      <sz val="8"/>
      <color indexed="14"/>
      <name val="Tms Rmn"/>
    </font>
    <font>
      <b/>
      <sz val="9"/>
      <name val="Times New Roman"/>
      <family val="1"/>
    </font>
    <font>
      <u val="doubleAccounting"/>
      <sz val="9"/>
      <name val="Times New Roman"/>
      <family val="1"/>
    </font>
    <font>
      <u val="singleAccounting"/>
      <sz val="9"/>
      <name val="Times New Roman"/>
      <family val="1"/>
    </font>
    <font>
      <sz val="16"/>
      <color indexed="9"/>
      <name val="Tahoma"/>
      <family val="2"/>
    </font>
    <font>
      <b/>
      <sz val="10"/>
      <color indexed="39"/>
      <name val="Arial"/>
      <family val="2"/>
    </font>
    <font>
      <b/>
      <sz val="10"/>
      <color indexed="8"/>
      <name val="Arial"/>
      <family val="2"/>
    </font>
    <font>
      <b/>
      <sz val="12"/>
      <color indexed="8"/>
      <name val="Arial"/>
      <family val="2"/>
    </font>
    <font>
      <sz val="10"/>
      <color indexed="39"/>
      <name val="Arial"/>
      <family val="2"/>
    </font>
    <font>
      <b/>
      <sz val="16"/>
      <color indexed="23"/>
      <name val="Arial"/>
      <family val="2"/>
    </font>
    <font>
      <sz val="10"/>
      <color indexed="10"/>
      <name val="Arial"/>
      <family val="2"/>
    </font>
    <font>
      <sz val="12"/>
      <name val="Univers (WN)"/>
    </font>
    <font>
      <b/>
      <sz val="8"/>
      <color indexed="8"/>
      <name val="Arial"/>
      <family val="2"/>
    </font>
    <font>
      <i/>
      <sz val="12"/>
      <name val="SWISS"/>
      <family val="2"/>
    </font>
    <font>
      <sz val="12"/>
      <name val="CG Times"/>
      <family val="1"/>
    </font>
    <font>
      <sz val="9"/>
      <color indexed="8"/>
      <name val="Times New Roman"/>
      <family val="1"/>
    </font>
    <font>
      <sz val="10"/>
      <name val="Tahoma"/>
      <family val="2"/>
    </font>
    <font>
      <b/>
      <sz val="11"/>
      <name val="Times New Roman"/>
      <family val="1"/>
    </font>
    <font>
      <sz val="24"/>
      <color indexed="13"/>
      <name val="Helv"/>
    </font>
    <font>
      <sz val="12"/>
      <color indexed="13"/>
      <name val="Helv"/>
    </font>
    <font>
      <b/>
      <sz val="11"/>
      <color indexed="8"/>
      <name val="Calibri"/>
      <family val="2"/>
    </font>
    <font>
      <b/>
      <sz val="12"/>
      <name val="Helv"/>
    </font>
    <font>
      <sz val="10"/>
      <color indexed="19"/>
      <name val="Arial"/>
      <family val="2"/>
    </font>
    <font>
      <sz val="11"/>
      <color indexed="10"/>
      <name val="Calibri"/>
      <family val="2"/>
    </font>
    <font>
      <b/>
      <u/>
      <sz val="10"/>
      <name val="Tms Rmn"/>
    </font>
    <font>
      <b/>
      <sz val="18"/>
      <color indexed="24"/>
      <name val="Arial"/>
      <family val="2"/>
    </font>
    <font>
      <b/>
      <sz val="12"/>
      <color indexed="24"/>
      <name val="Arial"/>
      <family val="2"/>
    </font>
    <font>
      <sz val="12"/>
      <name val="宋体"/>
      <charset val="134"/>
    </font>
    <font>
      <sz val="11"/>
      <name val="ＭＳ 明朝"/>
      <family val="1"/>
      <charset val="128"/>
    </font>
    <font>
      <sz val="10"/>
      <name val="ＭＳ ゴシック"/>
      <family val="3"/>
      <charset val="128"/>
    </font>
    <font>
      <b/>
      <sz val="12"/>
      <color theme="0"/>
      <name val="Palatino Linotype"/>
      <family val="1"/>
    </font>
    <font>
      <b/>
      <sz val="12"/>
      <color theme="1"/>
      <name val="Palatino Linotype"/>
      <family val="1"/>
    </font>
    <font>
      <b/>
      <sz val="14"/>
      <name val="Palatino Linotype"/>
      <family val="1"/>
    </font>
    <font>
      <sz val="11"/>
      <color theme="0"/>
      <name val="Palatino Linotype"/>
      <family val="1"/>
    </font>
    <font>
      <sz val="12"/>
      <color theme="1"/>
      <name val="Palatino Linotype"/>
      <family val="1"/>
    </font>
    <font>
      <b/>
      <sz val="13"/>
      <color theme="0"/>
      <name val="Palatino Linotype"/>
      <family val="1"/>
    </font>
    <font>
      <b/>
      <sz val="11"/>
      <color theme="0"/>
      <name val="Calibri"/>
      <family val="2"/>
      <scheme val="minor"/>
    </font>
    <font>
      <b/>
      <sz val="12"/>
      <color theme="1"/>
      <name val="Calibri"/>
      <family val="2"/>
      <scheme val="minor"/>
    </font>
    <font>
      <sz val="11"/>
      <name val="Calibri"/>
      <family val="2"/>
      <scheme val="minor"/>
    </font>
    <font>
      <b/>
      <i/>
      <sz val="11"/>
      <color theme="1"/>
      <name val="Calibri"/>
      <family val="2"/>
      <scheme val="minor"/>
    </font>
    <font>
      <b/>
      <u/>
      <sz val="18"/>
      <color theme="1"/>
      <name val="Calibri"/>
      <family val="2"/>
      <scheme val="minor"/>
    </font>
    <font>
      <b/>
      <sz val="10"/>
      <name val="Palatino Linotype"/>
      <family val="1"/>
    </font>
    <font>
      <b/>
      <sz val="10"/>
      <color theme="0"/>
      <name val="Palatino Linotype"/>
      <family val="1"/>
    </font>
    <font>
      <sz val="9"/>
      <color theme="1"/>
      <name val="Palatino Linotype"/>
      <family val="1"/>
    </font>
    <font>
      <b/>
      <sz val="9"/>
      <color theme="0"/>
      <name val="Palatino Linotype"/>
      <family val="1"/>
    </font>
    <font>
      <b/>
      <sz val="9"/>
      <color theme="1"/>
      <name val="Palatino Linotype"/>
      <family val="1"/>
    </font>
    <font>
      <b/>
      <sz val="9"/>
      <name val="Palatino Linotype"/>
      <family val="1"/>
    </font>
    <font>
      <sz val="9"/>
      <name val="Palatino Linotype"/>
      <family val="1"/>
    </font>
    <font>
      <sz val="10"/>
      <color theme="1"/>
      <name val="Palatino Linotype"/>
      <family val="1"/>
    </font>
    <font>
      <b/>
      <sz val="10"/>
      <color theme="1"/>
      <name val="Palatino Linotype"/>
      <family val="1"/>
    </font>
    <font>
      <b/>
      <sz val="14"/>
      <color theme="1"/>
      <name val="Calibri"/>
      <family val="2"/>
      <scheme val="minor"/>
    </font>
    <font>
      <b/>
      <sz val="20"/>
      <color theme="1"/>
      <name val="Baskerville Old Face"/>
      <family val="1"/>
    </font>
    <font>
      <b/>
      <sz val="7"/>
      <color theme="0"/>
      <name val="Palatino Linotype"/>
      <family val="1"/>
    </font>
    <font>
      <u/>
      <sz val="11"/>
      <color theme="10"/>
      <name val="Calibri"/>
      <family val="2"/>
    </font>
    <font>
      <b/>
      <sz val="8"/>
      <color theme="0"/>
      <name val="Palatino Linotype"/>
      <family val="1"/>
    </font>
    <font>
      <b/>
      <u/>
      <sz val="13"/>
      <color theme="1"/>
      <name val="Palatino Linotype"/>
      <family val="1"/>
    </font>
    <font>
      <sz val="10"/>
      <color theme="0"/>
      <name val="Palatino Linotype"/>
      <family val="1"/>
    </font>
    <font>
      <sz val="10"/>
      <name val="Palatino Linotype"/>
      <family val="1"/>
    </font>
    <font>
      <sz val="14"/>
      <name val="Palatino Linotype"/>
      <family val="1"/>
    </font>
    <font>
      <b/>
      <sz val="18"/>
      <color theme="1"/>
      <name val="Baskerville Old Face"/>
      <family val="1"/>
    </font>
    <font>
      <sz val="12"/>
      <name val="¹UAAA¼"/>
      <family val="3"/>
    </font>
    <font>
      <sz val="24"/>
      <color indexed="13"/>
      <name val="SWISS"/>
      <family val="2"/>
    </font>
    <font>
      <b/>
      <sz val="14"/>
      <name val="SWISS"/>
      <family val="2"/>
    </font>
    <font>
      <b/>
      <sz val="12"/>
      <name val="Book Antiqua"/>
      <family val="1"/>
    </font>
    <font>
      <sz val="14"/>
      <name val="뼻뮝"/>
      <family val="3"/>
    </font>
    <font>
      <sz val="12"/>
      <name val="뼻뮝"/>
      <family val="1"/>
    </font>
    <font>
      <sz val="12"/>
      <name val="바탕체"/>
      <family val="1"/>
    </font>
    <font>
      <sz val="10"/>
      <name val="굴림체"/>
      <family val="3"/>
    </font>
    <font>
      <sz val="12"/>
      <name val="新細明體"/>
      <charset val="136"/>
    </font>
    <font>
      <b/>
      <sz val="22"/>
      <name val="Palatino Linotype"/>
      <family val="1"/>
    </font>
    <font>
      <b/>
      <sz val="15"/>
      <color theme="1"/>
      <name val="Palatino Linotype"/>
      <family val="1"/>
    </font>
    <font>
      <b/>
      <sz val="12"/>
      <name val="Arial Narrow"/>
      <family val="2"/>
    </font>
    <font>
      <b/>
      <u/>
      <sz val="12"/>
      <name val="Arial"/>
      <family val="2"/>
    </font>
    <font>
      <sz val="12"/>
      <name val="Arial Narrow"/>
      <family val="2"/>
    </font>
    <font>
      <sz val="10"/>
      <name val="Comic Sans MS"/>
      <family val="4"/>
    </font>
    <font>
      <sz val="12"/>
      <color indexed="10"/>
      <name val="Arial"/>
      <family val="2"/>
    </font>
    <font>
      <b/>
      <sz val="12"/>
      <color indexed="10"/>
      <name val="Arial"/>
      <family val="2"/>
    </font>
    <font>
      <sz val="12"/>
      <color indexed="8"/>
      <name val="Arial"/>
      <family val="2"/>
    </font>
  </fonts>
  <fills count="69">
    <fill>
      <patternFill patternType="none"/>
    </fill>
    <fill>
      <patternFill patternType="gray125"/>
    </fill>
    <fill>
      <patternFill patternType="solid">
        <fgColor theme="3"/>
        <bgColor indexed="64"/>
      </patternFill>
    </fill>
    <fill>
      <patternFill patternType="solid">
        <fgColor rgb="FFFFFFCC"/>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22"/>
        <bgColor indexed="31"/>
      </patternFill>
    </fill>
    <fill>
      <patternFill patternType="solid">
        <fgColor rgb="FFD3D3D3"/>
        <bgColor indexed="64"/>
      </patternFill>
    </fill>
    <fill>
      <patternFill patternType="solid">
        <fgColor indexed="8"/>
        <bgColor indexed="59"/>
      </patternFill>
    </fill>
    <fill>
      <patternFill patternType="solid">
        <fgColor indexed="15"/>
      </patternFill>
    </fill>
    <fill>
      <patternFill patternType="solid">
        <fgColor indexed="13"/>
      </patternFill>
    </fill>
    <fill>
      <patternFill patternType="solid">
        <fgColor indexed="43"/>
        <bgColor indexed="26"/>
      </patternFill>
    </fill>
    <fill>
      <patternFill patternType="solid">
        <fgColor indexed="26"/>
        <bgColor indexed="9"/>
      </patternFill>
    </fill>
    <fill>
      <patternFill patternType="solid">
        <fgColor indexed="34"/>
        <bgColor indexed="13"/>
      </patternFill>
    </fill>
    <fill>
      <patternFill patternType="mediumGray">
        <fgColor indexed="22"/>
      </patternFill>
    </fill>
    <fill>
      <patternFill patternType="solid">
        <fgColor indexed="43"/>
        <bgColor indexed="64"/>
      </patternFill>
    </fill>
    <fill>
      <patternFill patternType="solid">
        <fgColor indexed="31"/>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12"/>
      </patternFill>
    </fill>
    <fill>
      <patternFill patternType="solid">
        <fgColor theme="3"/>
        <bgColor theme="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indexed="12"/>
        <bgColor indexed="12"/>
      </patternFill>
    </fill>
    <fill>
      <patternFill patternType="solid">
        <fgColor indexed="13"/>
        <bgColor indexed="13"/>
      </patternFill>
    </fill>
    <fill>
      <patternFill patternType="solid">
        <fgColor theme="8" tint="0.59999389629810485"/>
        <bgColor indexed="64"/>
      </patternFill>
    </fill>
    <fill>
      <patternFill patternType="solid">
        <fgColor rgb="FF00B05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right/>
      <top/>
      <bottom style="hair">
        <color indexed="2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double">
        <color indexed="64"/>
      </top>
      <bottom style="double">
        <color indexed="64"/>
      </bottom>
      <diagonal/>
    </border>
    <border>
      <left/>
      <right/>
      <top style="double">
        <color indexed="64"/>
      </top>
      <bottom/>
      <diagonal/>
    </border>
    <border>
      <left/>
      <right/>
      <top style="medium">
        <color indexed="59"/>
      </top>
      <bottom style="medium">
        <color indexed="59"/>
      </bottom>
      <diagonal/>
    </border>
    <border>
      <left/>
      <right/>
      <top/>
      <bottom style="medium">
        <color indexed="5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thin">
        <color indexed="64"/>
      </right>
      <top/>
      <bottom/>
      <diagonal/>
    </border>
    <border>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59"/>
      </right>
      <top/>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right/>
      <top style="medium">
        <color indexed="8"/>
      </top>
      <bottom/>
      <diagonal/>
    </border>
    <border>
      <left style="thin">
        <color indexed="64"/>
      </left>
      <right style="thin">
        <color indexed="64"/>
      </right>
      <top style="medium">
        <color indexed="64"/>
      </top>
      <bottom style="medium">
        <color indexed="64"/>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8"/>
      </left>
      <right style="double">
        <color indexed="8"/>
      </right>
      <top style="double">
        <color indexed="8"/>
      </top>
      <bottom style="double">
        <color indexed="8"/>
      </bottom>
      <diagonal/>
    </border>
  </borders>
  <cellStyleXfs count="2210">
    <xf numFmtId="0" fontId="0" fillId="0" borderId="0"/>
    <xf numFmtId="9" fontId="1" fillId="0" borderId="0" applyFont="0" applyFill="0" applyBorder="0" applyAlignment="0" applyProtection="0"/>
    <xf numFmtId="169" fontId="1" fillId="0" borderId="0" applyFont="0" applyFill="0" applyBorder="0" applyAlignment="0" applyProtection="0"/>
    <xf numFmtId="0" fontId="9" fillId="0" borderId="0"/>
    <xf numFmtId="0" fontId="10" fillId="0" borderId="0"/>
    <xf numFmtId="175" fontId="11" fillId="0" borderId="0" applyFont="0" applyFill="0" applyBorder="0" applyAlignment="0" applyProtection="0"/>
    <xf numFmtId="0" fontId="10" fillId="0" borderId="0"/>
    <xf numFmtId="176" fontId="11" fillId="0" borderId="0" applyFont="0" applyFill="0" applyBorder="0" applyAlignment="0" applyProtection="0"/>
    <xf numFmtId="177" fontId="11"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40" fontId="13" fillId="0" borderId="0" applyFont="0" applyFill="0" applyBorder="0" applyAlignment="0" applyProtection="0"/>
    <xf numFmtId="38" fontId="13" fillId="0" borderId="0" applyFont="0" applyFill="0" applyBorder="0" applyAlignment="0" applyProtection="0"/>
    <xf numFmtId="0" fontId="14" fillId="0" borderId="0"/>
    <xf numFmtId="38" fontId="15" fillId="0" borderId="0" applyFont="0" applyFill="0" applyBorder="0" applyAlignment="0" applyProtection="0"/>
    <xf numFmtId="38" fontId="15" fillId="0" borderId="0" applyFont="0" applyFill="0" applyBorder="0" applyAlignment="0" applyProtection="0"/>
    <xf numFmtId="0" fontId="15" fillId="0" borderId="0"/>
    <xf numFmtId="0" fontId="15" fillId="0" borderId="0"/>
    <xf numFmtId="0" fontId="12" fillId="0" borderId="0"/>
    <xf numFmtId="0" fontId="12"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80" fontId="16" fillId="0" borderId="0"/>
    <xf numFmtId="0" fontId="12" fillId="0" borderId="0"/>
    <xf numFmtId="180" fontId="12" fillId="0" borderId="0" applyNumberFormat="0" applyFill="0" applyBorder="0" applyAlignment="0" applyProtection="0"/>
    <xf numFmtId="0" fontId="17"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5" borderId="0"/>
    <xf numFmtId="0" fontId="18" fillId="5" borderId="0"/>
    <xf numFmtId="0" fontId="18" fillId="5" borderId="0"/>
    <xf numFmtId="0" fontId="19" fillId="5" borderId="0"/>
    <xf numFmtId="0" fontId="20" fillId="5" borderId="0"/>
    <xf numFmtId="0" fontId="21" fillId="5" borderId="0"/>
    <xf numFmtId="0" fontId="22" fillId="5" borderId="0"/>
    <xf numFmtId="0" fontId="23" fillId="5" borderId="0"/>
    <xf numFmtId="0" fontId="23" fillId="5" borderId="0"/>
    <xf numFmtId="0" fontId="12" fillId="0" borderId="0"/>
    <xf numFmtId="181" fontId="12" fillId="6" borderId="15"/>
    <xf numFmtId="0" fontId="9" fillId="0" borderId="0"/>
    <xf numFmtId="0" fontId="9" fillId="0" borderId="0"/>
    <xf numFmtId="0" fontId="17" fillId="0" borderId="0"/>
    <xf numFmtId="0" fontId="19" fillId="6"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applyNumberFormat="0" applyFill="0" applyBorder="0" applyAlignment="0" applyProtection="0"/>
    <xf numFmtId="180" fontId="12" fillId="0" borderId="0" applyNumberFormat="0" applyFill="0" applyBorder="0" applyAlignment="0" applyProtection="0"/>
    <xf numFmtId="0" fontId="12" fillId="5" borderId="0"/>
    <xf numFmtId="0" fontId="18" fillId="5" borderId="0"/>
    <xf numFmtId="0" fontId="18" fillId="5" borderId="0"/>
    <xf numFmtId="0" fontId="19" fillId="5" borderId="0"/>
    <xf numFmtId="0" fontId="12" fillId="5" borderId="0"/>
    <xf numFmtId="0" fontId="21" fillId="5" borderId="0"/>
    <xf numFmtId="0" fontId="22" fillId="5" borderId="0"/>
    <xf numFmtId="0" fontId="23" fillId="5" borderId="0"/>
    <xf numFmtId="0" fontId="23" fillId="5"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applyNumberFormat="0" applyFill="0" applyBorder="0" applyAlignment="0" applyProtection="0"/>
    <xf numFmtId="0" fontId="24" fillId="0" borderId="0">
      <alignment vertical="top"/>
    </xf>
    <xf numFmtId="0" fontId="25" fillId="0" borderId="0"/>
    <xf numFmtId="0" fontId="24"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82" fontId="12" fillId="0" borderId="0" applyFont="0" applyFill="0" applyBorder="0" applyAlignment="0" applyProtection="0"/>
    <xf numFmtId="178" fontId="12" fillId="0" borderId="0" applyFont="0" applyFill="0" applyBorder="0" applyAlignment="0" applyProtection="0"/>
    <xf numFmtId="0" fontId="12" fillId="0" borderId="0"/>
    <xf numFmtId="0" fontId="12" fillId="0" borderId="0"/>
    <xf numFmtId="0" fontId="17" fillId="0" borderId="0"/>
    <xf numFmtId="9" fontId="26" fillId="0" borderId="0" applyFont="0" applyFill="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183" fontId="29" fillId="0" borderId="0" applyFont="0" applyFill="0" applyBorder="0" applyAlignment="0" applyProtection="0"/>
    <xf numFmtId="184" fontId="29" fillId="0" borderId="0" applyFont="0" applyFill="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185" fontId="30" fillId="5" borderId="0" applyNumberFormat="0" applyFill="0" applyBorder="0" applyAlignment="0" applyProtection="0">
      <protection locked="0"/>
    </xf>
    <xf numFmtId="0" fontId="23" fillId="0" borderId="0" applyNumberFormat="0" applyAlignment="0"/>
    <xf numFmtId="186" fontId="12" fillId="0" borderId="0" applyFont="0" applyFill="0" applyBorder="0" applyAlignment="0" applyProtection="0"/>
    <xf numFmtId="186" fontId="12" fillId="0" borderId="0" applyFont="0" applyFill="0" applyBorder="0" applyAlignment="0" applyProtection="0"/>
    <xf numFmtId="37" fontId="31" fillId="25" borderId="0" applyBorder="0" applyProtection="0">
      <alignment vertical="center"/>
    </xf>
    <xf numFmtId="0" fontId="32" fillId="0" borderId="0">
      <alignment horizontal="center" wrapText="1"/>
      <protection locked="0"/>
    </xf>
    <xf numFmtId="187" fontId="12" fillId="0" borderId="0" applyFont="0" applyFill="0" applyBorder="0" applyAlignment="0" applyProtection="0"/>
    <xf numFmtId="188" fontId="12" fillId="0" borderId="0" applyFont="0" applyFill="0" applyBorder="0" applyAlignment="0" applyProtection="0"/>
    <xf numFmtId="0" fontId="12" fillId="0" borderId="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4" fillId="0" borderId="0" applyNumberFormat="0" applyFill="0" applyBorder="0" applyAlignment="0" applyProtection="0"/>
    <xf numFmtId="0" fontId="35" fillId="26" borderId="0" applyBorder="0">
      <alignment horizontal="left" vertical="center" indent="1"/>
    </xf>
    <xf numFmtId="164" fontId="36" fillId="0" borderId="3" applyAlignment="0" applyProtection="0"/>
    <xf numFmtId="0" fontId="37" fillId="0" borderId="16"/>
    <xf numFmtId="0" fontId="38" fillId="0" borderId="0"/>
    <xf numFmtId="0" fontId="24" fillId="0" borderId="0" applyFill="0" applyBorder="0" applyAlignment="0"/>
    <xf numFmtId="189" fontId="39" fillId="0" borderId="0" applyFill="0" applyBorder="0" applyAlignment="0"/>
    <xf numFmtId="190" fontId="39" fillId="0" borderId="0" applyFill="0" applyBorder="0" applyAlignment="0"/>
    <xf numFmtId="191" fontId="12" fillId="0" borderId="0" applyFill="0" applyBorder="0" applyAlignment="0"/>
    <xf numFmtId="192" fontId="12" fillId="0" borderId="0" applyFill="0" applyBorder="0" applyAlignment="0"/>
    <xf numFmtId="193" fontId="12" fillId="0" borderId="0" applyFill="0" applyBorder="0" applyAlignment="0"/>
    <xf numFmtId="194" fontId="12" fillId="0" borderId="0" applyFill="0" applyBorder="0" applyAlignment="0"/>
    <xf numFmtId="189" fontId="39" fillId="0" borderId="0" applyFill="0" applyBorder="0" applyAlignment="0"/>
    <xf numFmtId="0" fontId="40" fillId="27" borderId="17" applyNumberFormat="0" applyAlignment="0" applyProtection="0"/>
    <xf numFmtId="0" fontId="40" fillId="27" borderId="17" applyNumberFormat="0" applyAlignment="0" applyProtection="0"/>
    <xf numFmtId="0" fontId="40" fillId="27" borderId="17" applyNumberFormat="0" applyAlignment="0" applyProtection="0"/>
    <xf numFmtId="0" fontId="40" fillId="27" borderId="17" applyNumberFormat="0" applyAlignment="0" applyProtection="0"/>
    <xf numFmtId="0" fontId="40" fillId="27" borderId="17" applyNumberFormat="0" applyAlignment="0" applyProtection="0"/>
    <xf numFmtId="0" fontId="40" fillId="27" borderId="17" applyNumberFormat="0" applyAlignment="0" applyProtection="0"/>
    <xf numFmtId="0" fontId="41" fillId="0" borderId="0"/>
    <xf numFmtId="0" fontId="12" fillId="0" borderId="0" applyNumberFormat="0" applyFill="0" applyBorder="0" applyProtection="0">
      <alignment horizontal="left"/>
    </xf>
    <xf numFmtId="0" fontId="42" fillId="26" borderId="18" applyNumberFormat="0" applyAlignment="0" applyProtection="0"/>
    <xf numFmtId="0" fontId="42" fillId="26" borderId="18" applyNumberFormat="0" applyAlignment="0" applyProtection="0"/>
    <xf numFmtId="0" fontId="42" fillId="26" borderId="18" applyNumberFormat="0" applyAlignment="0" applyProtection="0"/>
    <xf numFmtId="0" fontId="42" fillId="26" borderId="18" applyNumberFormat="0" applyAlignment="0" applyProtection="0"/>
    <xf numFmtId="0" fontId="42" fillId="26" borderId="18" applyNumberFormat="0" applyAlignment="0" applyProtection="0"/>
    <xf numFmtId="0" fontId="42" fillId="26" borderId="18" applyNumberFormat="0" applyAlignment="0" applyProtection="0"/>
    <xf numFmtId="0" fontId="43" fillId="6" borderId="7">
      <alignment horizontal="center" wrapText="1"/>
    </xf>
    <xf numFmtId="0" fontId="44" fillId="28" borderId="0" applyNumberFormat="0" applyBorder="0" applyProtection="0">
      <alignment horizontal="center" wrapTex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38" fontId="46" fillId="0" borderId="0" applyFill="0" applyBorder="0" applyProtection="0"/>
    <xf numFmtId="193" fontId="12" fillId="0" borderId="0" applyFont="0" applyFill="0" applyBorder="0" applyAlignment="0" applyProtection="0"/>
    <xf numFmtId="3" fontId="46" fillId="0" borderId="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73" fontId="27" fillId="0" borderId="0" applyFont="0" applyFill="0" applyBorder="0" applyAlignment="0" applyProtection="0"/>
    <xf numFmtId="169" fontId="27" fillId="0" borderId="0" applyFont="0" applyFill="0" applyBorder="0" applyAlignment="0" applyProtection="0"/>
    <xf numFmtId="177" fontId="27" fillId="0" borderId="0" applyFont="0" applyFill="0" applyBorder="0" applyAlignment="0" applyProtection="0"/>
    <xf numFmtId="177"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95" fontId="27"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83"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71" fontId="27" fillId="0" borderId="0" applyFill="0" applyBorder="0" applyAlignment="0" applyProtection="0"/>
    <xf numFmtId="41" fontId="27" fillId="0" borderId="0" applyFill="0" applyBorder="0" applyAlignment="0" applyProtection="0"/>
    <xf numFmtId="41" fontId="27" fillId="0" borderId="0" applyFill="0" applyBorder="0" applyAlignment="0" applyProtection="0"/>
    <xf numFmtId="169" fontId="27" fillId="0" borderId="0" applyFont="0" applyFill="0" applyBorder="0" applyAlignment="0" applyProtection="0"/>
    <xf numFmtId="165" fontId="27" fillId="0" borderId="0" applyFont="0" applyFill="0" applyBorder="0" applyAlignment="0" applyProtection="0"/>
    <xf numFmtId="197" fontId="46"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98" fontId="27" fillId="0" borderId="0" applyFont="0" applyFill="0" applyBorder="0" applyAlignment="0" applyProtection="0"/>
    <xf numFmtId="169" fontId="12" fillId="0" borderId="0" applyFont="0" applyFill="0" applyBorder="0" applyAlignment="0" applyProtection="0"/>
    <xf numFmtId="175" fontId="12" fillId="0" borderId="0" applyFont="0" applyFill="0" applyBorder="0" applyAlignment="0" applyProtection="0"/>
    <xf numFmtId="199" fontId="12" fillId="0" borderId="0" applyFont="0" applyFill="0" applyBorder="0" applyAlignment="0" applyProtection="0"/>
    <xf numFmtId="169" fontId="24" fillId="0" borderId="0" applyFont="0" applyFill="0" applyBorder="0" applyAlignment="0" applyProtection="0">
      <alignment vertical="top"/>
    </xf>
    <xf numFmtId="169" fontId="24" fillId="0" borderId="0" applyFont="0" applyFill="0" applyBorder="0" applyAlignment="0" applyProtection="0">
      <alignment vertical="top"/>
    </xf>
    <xf numFmtId="169" fontId="27" fillId="0" borderId="0" applyFont="0" applyFill="0" applyBorder="0" applyAlignment="0" applyProtection="0"/>
    <xf numFmtId="195"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1"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ill="0" applyBorder="0" applyAlignment="0" applyProtection="0"/>
    <xf numFmtId="41" fontId="27" fillId="0" borderId="0" applyFill="0" applyBorder="0" applyAlignment="0" applyProtection="0"/>
    <xf numFmtId="41" fontId="27" fillId="0" borderId="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79" fontId="12" fillId="0" borderId="0" applyFont="0" applyFill="0" applyBorder="0" applyAlignment="0" applyProtection="0"/>
    <xf numFmtId="183" fontId="12" fillId="0" borderId="0" applyFont="0" applyFill="0" applyBorder="0" applyAlignment="0" applyProtection="0"/>
    <xf numFmtId="16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201"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180" fontId="12" fillId="0" borderId="0" applyFont="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202" fontId="46" fillId="0" borderId="0" applyFill="0" applyBorder="0" applyAlignment="0" applyProtection="0"/>
    <xf numFmtId="192" fontId="12" fillId="0" borderId="0" applyFont="0" applyFill="0" applyBorder="0" applyAlignment="0" applyProtection="0"/>
    <xf numFmtId="180" fontId="12" fillId="0" borderId="0" applyFont="0" applyFill="0" applyBorder="0" applyAlignment="0" applyProtection="0"/>
    <xf numFmtId="185"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80" fontId="12" fillId="0" borderId="0" applyFont="0" applyFill="0" applyBorder="0" applyAlignment="0" applyProtection="0"/>
    <xf numFmtId="169" fontId="12" fillId="0" borderId="0" applyFont="0" applyFill="0" applyBorder="0" applyAlignment="0" applyProtection="0"/>
    <xf numFmtId="179" fontId="12" fillId="0" borderId="0" applyFont="0" applyFill="0" applyBorder="0" applyAlignment="0" applyProtection="0"/>
    <xf numFmtId="183" fontId="12" fillId="0" borderId="0" applyFont="0" applyFill="0" applyBorder="0" applyAlignment="0" applyProtection="0"/>
    <xf numFmtId="183" fontId="12" fillId="0" borderId="0" applyFont="0" applyFill="0" applyBorder="0" applyAlignment="0" applyProtection="0"/>
    <xf numFmtId="190" fontId="12" fillId="0" borderId="0" applyFont="0" applyFill="0" applyBorder="0" applyAlignment="0" applyProtection="0"/>
    <xf numFmtId="190" fontId="12" fillId="0" borderId="0" applyFont="0" applyFill="0" applyBorder="0" applyAlignment="0" applyProtection="0"/>
    <xf numFmtId="176" fontId="12" fillId="0" borderId="0" applyFont="0" applyFill="0" applyBorder="0" applyAlignment="0" applyProtection="0"/>
    <xf numFmtId="203" fontId="46" fillId="0" borderId="0" applyFill="0" applyBorder="0" applyAlignment="0" applyProtection="0"/>
    <xf numFmtId="203" fontId="46" fillId="0" borderId="0" applyFill="0" applyBorder="0" applyAlignment="0" applyProtection="0"/>
    <xf numFmtId="185" fontId="12" fillId="0" borderId="0" applyFont="0" applyFill="0" applyBorder="0" applyAlignment="0" applyProtection="0"/>
    <xf numFmtId="169" fontId="27"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204"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79" fontId="12" fillId="0" borderId="0" applyFont="0" applyFill="0" applyBorder="0" applyAlignment="0" applyProtection="0"/>
    <xf numFmtId="183" fontId="12" fillId="0" borderId="0" applyFont="0" applyFill="0" applyBorder="0" applyAlignment="0" applyProtection="0"/>
    <xf numFmtId="203" fontId="46" fillId="0" borderId="0" applyFill="0" applyBorder="0" applyAlignment="0" applyProtection="0"/>
    <xf numFmtId="204" fontId="12" fillId="0" borderId="0" applyFont="0" applyFill="0" applyBorder="0" applyAlignment="0" applyProtection="0"/>
    <xf numFmtId="41" fontId="12" fillId="0" borderId="0" applyFont="0" applyFill="0" applyBorder="0" applyAlignment="0" applyProtection="0"/>
    <xf numFmtId="196" fontId="12" fillId="0" borderId="0" applyFont="0" applyFill="0" applyBorder="0" applyAlignment="0" applyProtection="0"/>
    <xf numFmtId="177" fontId="12" fillId="0" borderId="0" applyFont="0" applyFill="0" applyBorder="0" applyAlignment="0" applyProtection="0"/>
    <xf numFmtId="205" fontId="12" fillId="0" borderId="0" applyFont="0" applyFill="0" applyBorder="0" applyAlignment="0" applyProtection="0"/>
    <xf numFmtId="191" fontId="12" fillId="0" borderId="0" applyFont="0" applyFill="0" applyBorder="0" applyAlignment="0" applyProtection="0"/>
    <xf numFmtId="41" fontId="12" fillId="0" borderId="0" applyFont="0" applyFill="0" applyBorder="0" applyAlignment="0" applyProtection="0"/>
    <xf numFmtId="196" fontId="12" fillId="0" borderId="0" applyFont="0" applyFill="0" applyBorder="0" applyAlignment="0" applyProtection="0"/>
    <xf numFmtId="189" fontId="12" fillId="0" borderId="0" applyFont="0" applyFill="0" applyBorder="0" applyAlignment="0" applyProtection="0"/>
    <xf numFmtId="190" fontId="12" fillId="0" borderId="0" applyFont="0" applyFill="0" applyBorder="0" applyAlignment="0" applyProtection="0"/>
    <xf numFmtId="41" fontId="12" fillId="0" borderId="0" applyFont="0" applyFill="0" applyBorder="0" applyAlignment="0" applyProtection="0"/>
    <xf numFmtId="196" fontId="12" fillId="0" borderId="0" applyFont="0" applyFill="0" applyBorder="0" applyAlignment="0" applyProtection="0"/>
    <xf numFmtId="181" fontId="12" fillId="0" borderId="0" applyFont="0" applyFill="0" applyBorder="0" applyAlignment="0" applyProtection="0"/>
    <xf numFmtId="41" fontId="12" fillId="0" borderId="0" applyFont="0" applyFill="0" applyBorder="0" applyAlignment="0" applyProtection="0"/>
    <xf numFmtId="196" fontId="12" fillId="0" borderId="0" applyFont="0" applyFill="0" applyBorder="0" applyAlignment="0" applyProtection="0"/>
    <xf numFmtId="195" fontId="12" fillId="0" borderId="0" applyFont="0" applyFill="0" applyBorder="0" applyAlignment="0" applyProtection="0"/>
    <xf numFmtId="181" fontId="12"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43" fontId="27" fillId="0" borderId="0" applyFont="0" applyFill="0" applyBorder="0" applyAlignment="0" applyProtection="0"/>
    <xf numFmtId="196" fontId="27" fillId="0" borderId="0" applyFont="0" applyFill="0" applyBorder="0" applyAlignment="0" applyProtection="0"/>
    <xf numFmtId="176" fontId="27" fillId="0" borderId="0" applyFont="0" applyFill="0" applyBorder="0" applyAlignment="0" applyProtection="0"/>
    <xf numFmtId="178" fontId="2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203" fontId="46"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12" fillId="0" borderId="0" applyFont="0" applyFill="0" applyBorder="0" applyAlignment="0" applyProtection="0">
      <alignment vertical="center"/>
    </xf>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7"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4"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6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4"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174"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206"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4" fontId="12" fillId="0" borderId="0" applyFont="0" applyFill="0" applyBorder="0" applyAlignment="0" applyProtection="0"/>
    <xf numFmtId="169" fontId="1"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73" fontId="27" fillId="0" borderId="0" applyFont="0" applyFill="0" applyBorder="0" applyAlignment="0" applyProtection="0"/>
    <xf numFmtId="169" fontId="27" fillId="0" borderId="0" applyFont="0" applyFill="0" applyBorder="0" applyAlignment="0" applyProtection="0"/>
    <xf numFmtId="199" fontId="27" fillId="0" borderId="0" applyFont="0" applyFill="0" applyBorder="0" applyAlignment="0" applyProtection="0"/>
    <xf numFmtId="171"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ill="0" applyBorder="0" applyAlignment="0" applyProtection="0"/>
    <xf numFmtId="41" fontId="27" fillId="0" borderId="0" applyFill="0" applyBorder="0" applyAlignment="0" applyProtection="0"/>
    <xf numFmtId="41" fontId="27" fillId="0" borderId="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2" fillId="0" borderId="0" applyFont="0" applyFill="0" applyBorder="0" applyAlignment="0" applyProtection="0"/>
    <xf numFmtId="174"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0" fontId="46" fillId="0" borderId="0" applyFill="0" applyBorder="0" applyProtection="0"/>
    <xf numFmtId="3" fontId="12" fillId="0" borderId="0" applyFill="0" applyBorder="0" applyAlignment="0" applyProtection="0"/>
    <xf numFmtId="0" fontId="47" fillId="0" borderId="0"/>
    <xf numFmtId="0" fontId="48" fillId="0" borderId="0" applyNumberFormat="0" applyAlignment="0"/>
    <xf numFmtId="0" fontId="47" fillId="0" borderId="19"/>
    <xf numFmtId="0" fontId="47" fillId="0" borderId="0"/>
    <xf numFmtId="165" fontId="49" fillId="0" borderId="10" applyBorder="0"/>
    <xf numFmtId="207" fontId="12" fillId="0" borderId="0" applyFont="0" applyFill="0" applyBorder="0" applyAlignment="0" applyProtection="0"/>
    <xf numFmtId="189" fontId="39" fillId="0" borderId="0" applyFont="0" applyFill="0" applyBorder="0" applyAlignment="0" applyProtection="0"/>
    <xf numFmtId="208" fontId="46" fillId="0" borderId="0" applyFill="0" applyBorder="0" applyProtection="0"/>
    <xf numFmtId="168" fontId="12" fillId="0" borderId="0" applyFont="0" applyFill="0" applyBorder="0" applyAlignment="0" applyProtection="0"/>
    <xf numFmtId="164" fontId="12" fillId="0" borderId="0" applyFill="0" applyBorder="0" applyAlignment="0" applyProtection="0"/>
    <xf numFmtId="0" fontId="16" fillId="0" borderId="0"/>
    <xf numFmtId="0" fontId="50" fillId="0" borderId="0"/>
    <xf numFmtId="39" fontId="51" fillId="0" borderId="0" applyNumberFormat="0" applyFill="0" applyBorder="0" applyAlignment="0">
      <protection locked="0"/>
    </xf>
    <xf numFmtId="0" fontId="50" fillId="0" borderId="16"/>
    <xf numFmtId="209" fontId="52" fillId="0" borderId="0">
      <protection locked="0"/>
    </xf>
    <xf numFmtId="209" fontId="52" fillId="0" borderId="0">
      <protection locked="0"/>
    </xf>
    <xf numFmtId="14" fontId="24" fillId="0" borderId="0" applyFill="0" applyBorder="0" applyAlignment="0"/>
    <xf numFmtId="1" fontId="53" fillId="0" borderId="0">
      <protection locked="0"/>
    </xf>
    <xf numFmtId="0" fontId="54" fillId="0" borderId="0" applyFont="0" applyFill="0" applyBorder="0" applyAlignment="0" applyProtection="0"/>
    <xf numFmtId="38" fontId="55" fillId="0" borderId="20">
      <alignment vertical="center"/>
    </xf>
    <xf numFmtId="210" fontId="12" fillId="0" borderId="0" applyFont="0" applyFill="0" applyBorder="0" applyAlignment="0" applyProtection="0"/>
    <xf numFmtId="211" fontId="12" fillId="0" borderId="0" applyFont="0" applyFill="0" applyBorder="0" applyAlignment="0" applyProtection="0"/>
    <xf numFmtId="212" fontId="56" fillId="0" borderId="0"/>
    <xf numFmtId="213" fontId="39" fillId="0" borderId="0" applyFill="0" applyBorder="0" applyAlignment="0" applyProtection="0">
      <alignment horizontal="right"/>
    </xf>
    <xf numFmtId="213" fontId="39" fillId="0" borderId="0" applyFill="0" applyBorder="0" applyAlignment="0">
      <alignment horizontal="right"/>
    </xf>
    <xf numFmtId="214" fontId="39" fillId="0" borderId="0" applyFill="0" applyBorder="0" applyAlignment="0">
      <alignment horizontal="right"/>
    </xf>
    <xf numFmtId="0" fontId="57" fillId="0" borderId="0" applyNumberFormat="0" applyFill="0" applyBorder="0" applyAlignment="0" applyProtection="0"/>
    <xf numFmtId="193" fontId="12" fillId="0" borderId="0" applyFill="0" applyBorder="0" applyAlignment="0"/>
    <xf numFmtId="189" fontId="39" fillId="0" borderId="0" applyFill="0" applyBorder="0" applyAlignment="0"/>
    <xf numFmtId="193" fontId="12" fillId="0" borderId="0" applyFill="0" applyBorder="0" applyAlignment="0"/>
    <xf numFmtId="194" fontId="12" fillId="0" borderId="0" applyFill="0" applyBorder="0" applyAlignment="0"/>
    <xf numFmtId="189" fontId="39" fillId="0" borderId="0" applyFill="0" applyBorder="0" applyAlignment="0"/>
    <xf numFmtId="0" fontId="58" fillId="0" borderId="0" applyNumberFormat="0" applyAlignment="0"/>
    <xf numFmtId="215" fontId="46" fillId="0" borderId="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209" fontId="52" fillId="0" borderId="0">
      <protection locked="0"/>
    </xf>
    <xf numFmtId="209" fontId="52" fillId="0" borderId="0">
      <protection locked="0"/>
    </xf>
    <xf numFmtId="209" fontId="52" fillId="0" borderId="0">
      <protection locked="0"/>
    </xf>
    <xf numFmtId="209" fontId="52" fillId="0" borderId="0">
      <protection locked="0"/>
    </xf>
    <xf numFmtId="209" fontId="52" fillId="0" borderId="0">
      <protection locked="0"/>
    </xf>
    <xf numFmtId="209" fontId="52" fillId="0" borderId="0">
      <protection locked="0"/>
    </xf>
    <xf numFmtId="209" fontId="52" fillId="0" borderId="0">
      <protection locked="0"/>
    </xf>
    <xf numFmtId="2" fontId="54" fillId="0" borderId="0" applyFont="0" applyFill="0" applyBorder="0" applyAlignment="0" applyProtection="0"/>
    <xf numFmtId="209" fontId="52" fillId="0" borderId="0">
      <protection locked="0"/>
    </xf>
    <xf numFmtId="0" fontId="54" fillId="0" borderId="21" applyNumberFormat="0" applyFont="0" applyFill="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38" fontId="23" fillId="5" borderId="0" applyNumberFormat="0" applyBorder="0" applyAlignment="0" applyProtection="0"/>
    <xf numFmtId="0" fontId="61" fillId="5" borderId="0"/>
    <xf numFmtId="37" fontId="62" fillId="0" borderId="22" applyFill="0">
      <alignment vertical="center"/>
    </xf>
    <xf numFmtId="37" fontId="63" fillId="29" borderId="0" applyBorder="0">
      <alignment horizontal="left" vertical="center"/>
    </xf>
    <xf numFmtId="0" fontId="44" fillId="0" borderId="4" applyNumberFormat="0" applyAlignment="0" applyProtection="0">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44" fillId="0" borderId="6">
      <alignment horizontal="left" vertical="center"/>
    </xf>
    <xf numFmtId="0" fontId="62" fillId="0" borderId="23" applyNumberFormat="0" applyFill="0">
      <alignment horizontal="center" vertical="top"/>
    </xf>
    <xf numFmtId="0" fontId="64" fillId="25" borderId="0" applyNumberFormat="0" applyBorder="0">
      <alignment horizontal="left" vertical="center" indent="1"/>
    </xf>
    <xf numFmtId="0" fontId="65" fillId="0" borderId="24" applyNumberFormat="0" applyFill="0" applyAlignment="0" applyProtection="0"/>
    <xf numFmtId="0" fontId="65" fillId="0" borderId="24" applyNumberFormat="0" applyFill="0" applyAlignment="0" applyProtection="0"/>
    <xf numFmtId="0" fontId="65" fillId="0" borderId="24" applyNumberFormat="0" applyFill="0" applyAlignment="0" applyProtection="0"/>
    <xf numFmtId="0" fontId="65" fillId="0" borderId="24" applyNumberFormat="0" applyFill="0" applyAlignment="0" applyProtection="0"/>
    <xf numFmtId="0" fontId="65" fillId="0" borderId="24" applyNumberFormat="0" applyFill="0" applyAlignment="0" applyProtection="0"/>
    <xf numFmtId="0" fontId="65" fillId="0" borderId="24"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6" fillId="0" borderId="25"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209" fontId="52" fillId="0" borderId="0">
      <protection locked="0"/>
    </xf>
    <xf numFmtId="216" fontId="52" fillId="0" borderId="0">
      <protection locked="0"/>
    </xf>
    <xf numFmtId="209" fontId="52" fillId="0" borderId="0">
      <protection locked="0"/>
    </xf>
    <xf numFmtId="0" fontId="12" fillId="0" borderId="0">
      <alignment horizontal="center"/>
    </xf>
    <xf numFmtId="10" fontId="23" fillId="6" borderId="1" applyNumberFormat="0" applyBorder="0" applyAlignment="0" applyProtection="0"/>
    <xf numFmtId="0" fontId="68" fillId="12" borderId="17" applyNumberFormat="0" applyAlignment="0" applyProtection="0"/>
    <xf numFmtId="0" fontId="68" fillId="12" borderId="17" applyNumberFormat="0" applyAlignment="0" applyProtection="0"/>
    <xf numFmtId="0" fontId="68" fillId="12" borderId="17" applyNumberFormat="0" applyAlignment="0" applyProtection="0"/>
    <xf numFmtId="0" fontId="68" fillId="12" borderId="17" applyNumberFormat="0" applyAlignment="0" applyProtection="0"/>
    <xf numFmtId="0" fontId="68" fillId="12" borderId="17" applyNumberFormat="0" applyAlignment="0" applyProtection="0"/>
    <xf numFmtId="0" fontId="68" fillId="12" borderId="17" applyNumberFormat="0" applyAlignment="0" applyProtection="0"/>
    <xf numFmtId="201" fontId="16" fillId="30" borderId="0"/>
    <xf numFmtId="217" fontId="69" fillId="0" borderId="9" applyBorder="0">
      <protection locked="0"/>
    </xf>
    <xf numFmtId="218" fontId="70" fillId="0" borderId="0"/>
    <xf numFmtId="0" fontId="12" fillId="0" borderId="13" applyFont="0" applyFill="0" applyBorder="0" applyAlignment="0" applyProtection="0">
      <alignment horizontal="center"/>
    </xf>
    <xf numFmtId="0" fontId="71" fillId="0" borderId="0"/>
    <xf numFmtId="3" fontId="54" fillId="0" borderId="0" applyFont="0" applyFill="0" applyBorder="0" applyAlignment="0" applyProtection="0"/>
    <xf numFmtId="0" fontId="72" fillId="31" borderId="16"/>
    <xf numFmtId="193" fontId="12" fillId="0" borderId="0" applyFill="0" applyBorder="0" applyAlignment="0"/>
    <xf numFmtId="189" fontId="39" fillId="0" borderId="0" applyFill="0" applyBorder="0" applyAlignment="0"/>
    <xf numFmtId="193" fontId="12" fillId="0" borderId="0" applyFill="0" applyBorder="0" applyAlignment="0"/>
    <xf numFmtId="194" fontId="12" fillId="0" borderId="0" applyFill="0" applyBorder="0" applyAlignment="0"/>
    <xf numFmtId="189" fontId="39" fillId="0" borderId="0" applyFill="0" applyBorder="0" applyAlignment="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219" fontId="74" fillId="0" borderId="28">
      <alignment horizontal="right"/>
    </xf>
    <xf numFmtId="0" fontId="12" fillId="0" borderId="0">
      <alignment horizontal="center"/>
    </xf>
    <xf numFmtId="220" fontId="46" fillId="0" borderId="0" applyFill="0" applyBorder="0" applyAlignment="0" applyProtection="0"/>
    <xf numFmtId="221" fontId="46" fillId="0" borderId="0" applyFill="0" applyBorder="0" applyAlignment="0" applyProtection="0"/>
    <xf numFmtId="222" fontId="12" fillId="0" borderId="0" applyFont="0" applyFill="0" applyBorder="0" applyAlignment="0" applyProtection="0"/>
    <xf numFmtId="223" fontId="12" fillId="0" borderId="0" applyFont="0" applyFill="0" applyBorder="0" applyAlignment="0" applyProtection="0"/>
    <xf numFmtId="0" fontId="75" fillId="0" borderId="8"/>
    <xf numFmtId="166" fontId="10" fillId="0" borderId="0" applyFont="0" applyFill="0" applyBorder="0" applyAlignment="0" applyProtection="0"/>
    <xf numFmtId="168" fontId="10" fillId="0" borderId="0" applyFont="0" applyFill="0" applyBorder="0" applyAlignment="0" applyProtection="0"/>
    <xf numFmtId="224" fontId="46" fillId="0" borderId="0" applyFill="0" applyBorder="0" applyAlignment="0" applyProtection="0"/>
    <xf numFmtId="225" fontId="46" fillId="0" borderId="0" applyFill="0" applyBorder="0" applyAlignment="0" applyProtection="0"/>
    <xf numFmtId="226" fontId="12" fillId="0" borderId="0" applyFont="0" applyFill="0" applyBorder="0" applyAlignment="0" applyProtection="0"/>
    <xf numFmtId="227" fontId="12" fillId="0" borderId="0" applyFont="0" applyFill="0" applyBorder="0" applyAlignment="0" applyProtection="0"/>
    <xf numFmtId="228" fontId="39" fillId="0" borderId="0" applyFill="0" applyBorder="0" applyAlignment="0">
      <alignment horizontal="right"/>
    </xf>
    <xf numFmtId="0" fontId="46" fillId="0" borderId="0" applyNumberFormat="0" applyFill="0" applyBorder="0" applyAlignment="0" applyProtection="0"/>
    <xf numFmtId="0" fontId="76" fillId="0" borderId="0">
      <alignment horizontal="right"/>
    </xf>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8" fillId="0" borderId="0">
      <alignment horizontal="right" wrapText="1"/>
    </xf>
    <xf numFmtId="0" fontId="10" fillId="0" borderId="0"/>
    <xf numFmtId="0" fontId="69" fillId="0" borderId="29" applyNumberFormat="0" applyAlignment="0"/>
    <xf numFmtId="37" fontId="79" fillId="0" borderId="0"/>
    <xf numFmtId="0" fontId="80" fillId="27" borderId="0">
      <alignment horizontal="left" indent="1"/>
    </xf>
    <xf numFmtId="0" fontId="12" fillId="0" borderId="0"/>
    <xf numFmtId="229" fontId="12" fillId="0" borderId="0"/>
    <xf numFmtId="180" fontId="81" fillId="0" borderId="0"/>
    <xf numFmtId="180" fontId="81" fillId="0" borderId="0"/>
    <xf numFmtId="180" fontId="81" fillId="0" borderId="0"/>
    <xf numFmtId="180" fontId="81" fillId="0" borderId="0"/>
    <xf numFmtId="180" fontId="81" fillId="0" borderId="0"/>
    <xf numFmtId="180" fontId="81" fillId="0" borderId="0"/>
    <xf numFmtId="229" fontId="12" fillId="0" borderId="0"/>
    <xf numFmtId="180" fontId="81" fillId="0" borderId="0"/>
    <xf numFmtId="180" fontId="81" fillId="0" borderId="0"/>
    <xf numFmtId="180" fontId="81" fillId="0" borderId="0"/>
    <xf numFmtId="180" fontId="81" fillId="0" borderId="0"/>
    <xf numFmtId="180" fontId="81" fillId="0" borderId="0"/>
    <xf numFmtId="180" fontId="81" fillId="0" borderId="0"/>
    <xf numFmtId="180" fontId="81" fillId="0" borderId="0"/>
    <xf numFmtId="229" fontId="12" fillId="0" borderId="0"/>
    <xf numFmtId="37" fontId="49" fillId="0" borderId="0"/>
    <xf numFmtId="38" fontId="82" fillId="0" borderId="0"/>
    <xf numFmtId="200" fontId="83" fillId="0" borderId="0"/>
    <xf numFmtId="0" fontId="12" fillId="0" borderId="0"/>
    <xf numFmtId="0" fontId="12" fillId="0" borderId="0"/>
    <xf numFmtId="0" fontId="12" fillId="0" borderId="0"/>
    <xf numFmtId="0" fontId="12" fillId="0" borderId="0"/>
    <xf numFmtId="0" fontId="12" fillId="0" borderId="0"/>
    <xf numFmtId="0" fontId="12" fillId="0" borderId="0"/>
    <xf numFmtId="200" fontId="83" fillId="0" borderId="0"/>
    <xf numFmtId="0" fontId="12" fillId="0" borderId="0"/>
    <xf numFmtId="0" fontId="12" fillId="0" borderId="0"/>
    <xf numFmtId="0" fontId="12" fillId="0" borderId="0"/>
    <xf numFmtId="0" fontId="12" fillId="0" borderId="0"/>
    <xf numFmtId="200" fontId="83" fillId="0" borderId="0"/>
    <xf numFmtId="200" fontId="83" fillId="0" borderId="0"/>
    <xf numFmtId="200"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7"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1" fillId="0" borderId="0"/>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23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8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8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8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180" fontId="83" fillId="0" borderId="0"/>
    <xf numFmtId="180" fontId="83" fillId="0" borderId="0"/>
    <xf numFmtId="18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80" fontId="83" fillId="0" borderId="0"/>
    <xf numFmtId="0" fontId="27" fillId="0" borderId="0"/>
    <xf numFmtId="0" fontId="27" fillId="0" borderId="0"/>
    <xf numFmtId="0" fontId="27" fillId="0" borderId="0"/>
    <xf numFmtId="0" fontId="27" fillId="0" borderId="0"/>
    <xf numFmtId="0" fontId="27" fillId="0" borderId="0"/>
    <xf numFmtId="0" fontId="27" fillId="0" borderId="0"/>
    <xf numFmtId="180" fontId="83" fillId="0" borderId="0"/>
    <xf numFmtId="0" fontId="27" fillId="0" borderId="0"/>
    <xf numFmtId="0" fontId="27" fillId="0" borderId="0"/>
    <xf numFmtId="0" fontId="27" fillId="0" borderId="0"/>
    <xf numFmtId="0" fontId="27" fillId="0" borderId="0"/>
    <xf numFmtId="180" fontId="83" fillId="0" borderId="0"/>
    <xf numFmtId="180" fontId="83" fillId="0" borderId="0"/>
    <xf numFmtId="180" fontId="8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24" fillId="0" borderId="0"/>
    <xf numFmtId="180"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 fillId="0" borderId="0"/>
    <xf numFmtId="0" fontId="84" fillId="0" borderId="0"/>
    <xf numFmtId="0" fontId="84" fillId="0" borderId="0"/>
    <xf numFmtId="0" fontId="84" fillId="0" borderId="0"/>
    <xf numFmtId="0" fontId="84" fillId="0" borderId="0"/>
    <xf numFmtId="0" fontId="12" fillId="0" borderId="0"/>
    <xf numFmtId="0" fontId="12" fillId="0" borderId="0"/>
    <xf numFmtId="0" fontId="12"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 fillId="0" borderId="0"/>
    <xf numFmtId="180" fontId="83" fillId="0" borderId="0"/>
    <xf numFmtId="0" fontId="12" fillId="0" borderId="0"/>
    <xf numFmtId="0" fontId="12" fillId="0" borderId="0"/>
    <xf numFmtId="0" fontId="12" fillId="0" borderId="0"/>
    <xf numFmtId="0" fontId="12" fillId="0" borderId="0"/>
    <xf numFmtId="180" fontId="83" fillId="0" borderId="0"/>
    <xf numFmtId="180" fontId="83" fillId="0" borderId="0"/>
    <xf numFmtId="180"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201"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01"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201" fontId="83" fillId="0" borderId="0"/>
    <xf numFmtId="201" fontId="83" fillId="0" borderId="0"/>
    <xf numFmtId="201"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0" borderId="0"/>
    <xf numFmtId="170" fontId="83" fillId="0" borderId="0"/>
    <xf numFmtId="170" fontId="83" fillId="0" borderId="0"/>
    <xf numFmtId="170" fontId="83" fillId="0" borderId="0"/>
    <xf numFmtId="170" fontId="83" fillId="0" borderId="0"/>
    <xf numFmtId="170" fontId="83" fillId="0" borderId="0"/>
    <xf numFmtId="170" fontId="83" fillId="0" borderId="0"/>
    <xf numFmtId="170" fontId="83" fillId="0" borderId="0"/>
    <xf numFmtId="0" fontId="1" fillId="0" borderId="0"/>
    <xf numFmtId="170" fontId="83" fillId="0" borderId="0"/>
    <xf numFmtId="170" fontId="83" fillId="0" borderId="0"/>
    <xf numFmtId="170" fontId="83" fillId="0" borderId="0"/>
    <xf numFmtId="170" fontId="83" fillId="0" borderId="0"/>
    <xf numFmtId="0" fontId="1" fillId="0" borderId="0"/>
    <xf numFmtId="0" fontId="1" fillId="0" borderId="0"/>
    <xf numFmtId="0" fontId="1" fillId="0" borderId="0"/>
    <xf numFmtId="170" fontId="83" fillId="0" borderId="0"/>
    <xf numFmtId="0" fontId="1" fillId="0" borderId="0"/>
    <xf numFmtId="0" fontId="1" fillId="0" borderId="0"/>
    <xf numFmtId="0" fontId="1" fillId="0" borderId="0"/>
    <xf numFmtId="0" fontId="1" fillId="0" borderId="0"/>
    <xf numFmtId="0" fontId="1" fillId="0" borderId="0"/>
    <xf numFmtId="170" fontId="83" fillId="0" borderId="0"/>
    <xf numFmtId="170" fontId="83" fillId="0" borderId="0"/>
    <xf numFmtId="170" fontId="83" fillId="0" borderId="0"/>
    <xf numFmtId="170" fontId="83" fillId="0" borderId="0"/>
    <xf numFmtId="170" fontId="83" fillId="0" borderId="0"/>
    <xf numFmtId="170" fontId="83" fillId="0" borderId="0"/>
    <xf numFmtId="201" fontId="83" fillId="0" borderId="0"/>
    <xf numFmtId="201" fontId="83" fillId="0" borderId="0"/>
    <xf numFmtId="180" fontId="83" fillId="0" borderId="0"/>
    <xf numFmtId="0" fontId="1" fillId="0" borderId="0"/>
    <xf numFmtId="0" fontId="1" fillId="0" borderId="0"/>
    <xf numFmtId="0" fontId="1" fillId="0" borderId="0"/>
    <xf numFmtId="0" fontId="1" fillId="0" borderId="0"/>
    <xf numFmtId="0" fontId="1" fillId="0" borderId="0"/>
    <xf numFmtId="0" fontId="1" fillId="0" borderId="0"/>
    <xf numFmtId="180" fontId="83" fillId="0" borderId="0"/>
    <xf numFmtId="0" fontId="1" fillId="0" borderId="0"/>
    <xf numFmtId="0" fontId="1" fillId="0" borderId="0"/>
    <xf numFmtId="0" fontId="1" fillId="0" borderId="0"/>
    <xf numFmtId="0" fontId="1" fillId="0" borderId="0"/>
    <xf numFmtId="180" fontId="83" fillId="0" borderId="0"/>
    <xf numFmtId="180" fontId="83" fillId="0" borderId="0"/>
    <xf numFmtId="18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0" fontId="83" fillId="0" borderId="0"/>
    <xf numFmtId="180" fontId="83" fillId="0" borderId="0"/>
    <xf numFmtId="180" fontId="83" fillId="0" borderId="0"/>
    <xf numFmtId="186"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83" fillId="0" borderId="0"/>
    <xf numFmtId="0" fontId="12" fillId="0" borderId="0"/>
    <xf numFmtId="0" fontId="12" fillId="0" borderId="0"/>
    <xf numFmtId="231" fontId="83" fillId="0" borderId="0"/>
    <xf numFmtId="0" fontId="12" fillId="0" borderId="0"/>
    <xf numFmtId="0" fontId="12" fillId="0" borderId="0"/>
    <xf numFmtId="0" fontId="12" fillId="0" borderId="0"/>
    <xf numFmtId="0" fontId="12" fillId="0" borderId="0"/>
    <xf numFmtId="231" fontId="83" fillId="0" borderId="0"/>
    <xf numFmtId="231" fontId="83" fillId="0" borderId="0"/>
    <xf numFmtId="231" fontId="83" fillId="0" borderId="0"/>
    <xf numFmtId="0" fontId="12" fillId="0" borderId="0"/>
    <xf numFmtId="0" fontId="12" fillId="0" borderId="0"/>
    <xf numFmtId="0" fontId="85"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18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9" fontId="83" fillId="0" borderId="0"/>
    <xf numFmtId="39" fontId="83" fillId="0" borderId="0"/>
    <xf numFmtId="0" fontId="1" fillId="0" borderId="0"/>
    <xf numFmtId="0" fontId="1" fillId="0" borderId="0"/>
    <xf numFmtId="0" fontId="1" fillId="0" borderId="0"/>
    <xf numFmtId="0" fontId="1" fillId="0" borderId="0"/>
    <xf numFmtId="0" fontId="1" fillId="0" borderId="0"/>
    <xf numFmtId="231"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24" fillId="0" borderId="0"/>
    <xf numFmtId="0" fontId="24" fillId="0" borderId="0"/>
    <xf numFmtId="0" fontId="24" fillId="0" borderId="0"/>
    <xf numFmtId="0" fontId="24" fillId="0" borderId="0"/>
    <xf numFmtId="0" fontId="12" fillId="0" borderId="0"/>
    <xf numFmtId="0" fontId="12" fillId="0" borderId="0"/>
    <xf numFmtId="0" fontId="1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231" fontId="83" fillId="0" borderId="0"/>
    <xf numFmtId="0" fontId="12" fillId="0" borderId="0"/>
    <xf numFmtId="0" fontId="12" fillId="0" borderId="0"/>
    <xf numFmtId="0" fontId="12" fillId="0" borderId="0"/>
    <xf numFmtId="0" fontId="12" fillId="0" borderId="0"/>
    <xf numFmtId="231" fontId="83" fillId="0" borderId="0"/>
    <xf numFmtId="231" fontId="83" fillId="0" borderId="0"/>
    <xf numFmtId="231"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center"/>
    </xf>
    <xf numFmtId="39" fontId="83" fillId="0" borderId="0" applyFon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1"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231" fontId="83" fillId="0" borderId="0"/>
    <xf numFmtId="0" fontId="12" fillId="0" borderId="0"/>
    <xf numFmtId="0" fontId="12" fillId="0" borderId="0"/>
    <xf numFmtId="0" fontId="12" fillId="0" borderId="0"/>
    <xf numFmtId="0" fontId="12" fillId="0" borderId="0"/>
    <xf numFmtId="231" fontId="83" fillId="0" borderId="0"/>
    <xf numFmtId="231" fontId="83" fillId="0" borderId="0"/>
    <xf numFmtId="231" fontId="83"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2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27" fillId="0" borderId="0"/>
    <xf numFmtId="0" fontId="12" fillId="0" borderId="0"/>
    <xf numFmtId="0" fontId="12" fillId="0" borderId="0"/>
    <xf numFmtId="0" fontId="12" fillId="0" borderId="0"/>
    <xf numFmtId="0" fontId="12" fillId="0" borderId="0"/>
    <xf numFmtId="0" fontId="27" fillId="0" borderId="0"/>
    <xf numFmtId="0" fontId="27" fillId="0" borderId="0"/>
    <xf numFmtId="0" fontId="2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20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0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200" fontId="83" fillId="0" borderId="0"/>
    <xf numFmtId="200" fontId="83" fillId="0" borderId="0"/>
    <xf numFmtId="200" fontId="8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00" fontId="83" fillId="0" borderId="0"/>
    <xf numFmtId="0" fontId="1" fillId="0" borderId="0"/>
    <xf numFmtId="0" fontId="1" fillId="0" borderId="0"/>
    <xf numFmtId="0" fontId="1" fillId="0" borderId="0"/>
    <xf numFmtId="0" fontId="1" fillId="0" borderId="0"/>
    <xf numFmtId="0" fontId="1" fillId="0" borderId="0"/>
    <xf numFmtId="0" fontId="1" fillId="0" borderId="0"/>
    <xf numFmtId="200" fontId="83" fillId="0" borderId="0"/>
    <xf numFmtId="0" fontId="1" fillId="0" borderId="0"/>
    <xf numFmtId="0" fontId="1" fillId="0" borderId="0"/>
    <xf numFmtId="0" fontId="1" fillId="0" borderId="0"/>
    <xf numFmtId="0" fontId="1" fillId="0" borderId="0"/>
    <xf numFmtId="200" fontId="83" fillId="0" borderId="0"/>
    <xf numFmtId="200" fontId="83" fillId="0" borderId="0"/>
    <xf numFmtId="20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3" borderId="12" applyNumberFormat="0" applyFont="0" applyAlignment="0" applyProtection="0"/>
    <xf numFmtId="0" fontId="27" fillId="3" borderId="12" applyNumberFormat="0" applyFont="0" applyAlignment="0" applyProtection="0"/>
    <xf numFmtId="0" fontId="46" fillId="33" borderId="30" applyNumberFormat="0" applyAlignment="0" applyProtection="0"/>
    <xf numFmtId="0" fontId="46" fillId="33" borderId="30" applyNumberFormat="0" applyAlignment="0" applyProtection="0"/>
    <xf numFmtId="0" fontId="46" fillId="33" borderId="30" applyNumberFormat="0" applyAlignment="0" applyProtection="0"/>
    <xf numFmtId="0" fontId="46" fillId="33" borderId="30" applyNumberFormat="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2" fillId="0" borderId="0"/>
    <xf numFmtId="0" fontId="20" fillId="0" borderId="0"/>
    <xf numFmtId="0" fontId="86" fillId="27" borderId="31" applyNumberFormat="0" applyAlignment="0" applyProtection="0"/>
    <xf numFmtId="0" fontId="86" fillId="27" borderId="31" applyNumberFormat="0" applyAlignment="0" applyProtection="0"/>
    <xf numFmtId="0" fontId="86" fillId="27" borderId="31" applyNumberFormat="0" applyAlignment="0" applyProtection="0"/>
    <xf numFmtId="0" fontId="86" fillId="27" borderId="31" applyNumberFormat="0" applyAlignment="0" applyProtection="0"/>
    <xf numFmtId="0" fontId="86" fillId="27" borderId="31" applyNumberFormat="0" applyAlignment="0" applyProtection="0"/>
    <xf numFmtId="0" fontId="86" fillId="27" borderId="31" applyNumberFormat="0" applyAlignment="0" applyProtection="0"/>
    <xf numFmtId="40" fontId="70" fillId="25" borderId="0">
      <alignment horizontal="right"/>
    </xf>
    <xf numFmtId="0" fontId="87" fillId="25" borderId="0">
      <alignment horizontal="right"/>
    </xf>
    <xf numFmtId="0" fontId="88" fillId="25" borderId="32"/>
    <xf numFmtId="0" fontId="88" fillId="0" borderId="0" applyBorder="0">
      <alignment horizontal="center"/>
    </xf>
    <xf numFmtId="0" fontId="89" fillId="0" borderId="0" applyBorder="0">
      <alignment horizontal="center"/>
    </xf>
    <xf numFmtId="1" fontId="18" fillId="0" borderId="1" applyFill="0" applyProtection="0">
      <alignment horizontal="center" vertical="top" wrapText="1"/>
    </xf>
    <xf numFmtId="14" fontId="32" fillId="0" borderId="0">
      <alignment horizontal="center" wrapText="1"/>
      <protection locked="0"/>
    </xf>
    <xf numFmtId="0" fontId="47" fillId="0" borderId="0"/>
    <xf numFmtId="0" fontId="90" fillId="0" borderId="0"/>
    <xf numFmtId="192" fontId="12" fillId="0" borderId="0" applyFont="0" applyFill="0" applyBorder="0" applyAlignment="0" applyProtection="0"/>
    <xf numFmtId="22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5" fillId="0" borderId="0" applyNumberFormat="0" applyBorder="0"/>
    <xf numFmtId="232" fontId="39" fillId="0" borderId="0" applyFill="0" applyBorder="0" applyAlignment="0">
      <alignment horizontal="right"/>
    </xf>
    <xf numFmtId="233" fontId="39" fillId="0" borderId="0" applyBorder="0" applyAlignment="0">
      <alignment horizontal="right"/>
    </xf>
    <xf numFmtId="234" fontId="91" fillId="0" borderId="33" applyFill="0" applyAlignment="0">
      <alignment horizontal="right"/>
    </xf>
    <xf numFmtId="235" fontId="92" fillId="0" borderId="0" applyNumberFormat="0" applyFill="0" applyBorder="0" applyAlignment="0">
      <alignment horizontal="right"/>
    </xf>
    <xf numFmtId="233" fontId="39" fillId="34" borderId="0" applyFont="0" applyBorder="0" applyAlignment="0">
      <alignment horizontal="right"/>
    </xf>
    <xf numFmtId="0" fontId="93" fillId="0" borderId="0" applyFill="0" applyBorder="0">
      <alignment horizontal="right"/>
    </xf>
    <xf numFmtId="193" fontId="12" fillId="0" borderId="0" applyFill="0" applyBorder="0" applyAlignment="0"/>
    <xf numFmtId="189" fontId="39" fillId="0" borderId="0" applyFill="0" applyBorder="0" applyAlignment="0"/>
    <xf numFmtId="193" fontId="12" fillId="0" borderId="0" applyFill="0" applyBorder="0" applyAlignment="0"/>
    <xf numFmtId="194" fontId="12" fillId="0" borderId="0" applyFill="0" applyBorder="0" applyAlignment="0"/>
    <xf numFmtId="189" fontId="39" fillId="0" borderId="0" applyFill="0" applyBorder="0" applyAlignment="0"/>
    <xf numFmtId="0" fontId="94" fillId="26" borderId="0">
      <alignment horizontal="left" indent="1"/>
    </xf>
    <xf numFmtId="10" fontId="54" fillId="0" borderId="0" applyFont="0" applyFill="0" applyBorder="0" applyAlignment="0" applyProtection="0"/>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36" fillId="0" borderId="8">
      <alignment horizontal="center"/>
    </xf>
    <xf numFmtId="3" fontId="55" fillId="0" borderId="0" applyFont="0" applyFill="0" applyBorder="0" applyAlignment="0" applyProtection="0"/>
    <xf numFmtId="0" fontId="55" fillId="35" borderId="0" applyNumberFormat="0" applyFont="0" applyBorder="0" applyAlignment="0" applyProtection="0"/>
    <xf numFmtId="1" fontId="12" fillId="0" borderId="13" applyNumberFormat="0" applyFill="0" applyAlignment="0" applyProtection="0">
      <alignment horizontal="center" vertical="center"/>
    </xf>
    <xf numFmtId="236" fontId="11" fillId="0" borderId="0" applyFont="0" applyFill="0" applyBorder="0" applyAlignment="0" applyProtection="0"/>
    <xf numFmtId="0" fontId="16" fillId="0" borderId="0"/>
    <xf numFmtId="0" fontId="50" fillId="0" borderId="0"/>
    <xf numFmtId="0" fontId="23" fillId="0" borderId="0" applyNumberFormat="0" applyFill="0" applyBorder="0" applyAlignment="0" applyProtection="0"/>
    <xf numFmtId="4" fontId="24" fillId="36" borderId="31" applyNumberFormat="0" applyProtection="0">
      <alignment vertical="center"/>
    </xf>
    <xf numFmtId="4" fontId="95" fillId="36" borderId="34" applyNumberFormat="0" applyProtection="0">
      <alignment vertical="center"/>
    </xf>
    <xf numFmtId="4" fontId="24" fillId="36" borderId="31" applyNumberFormat="0" applyProtection="0">
      <alignment horizontal="left" vertical="center" indent="1"/>
    </xf>
    <xf numFmtId="0" fontId="96" fillId="36" borderId="34" applyNumberFormat="0" applyProtection="0">
      <alignment horizontal="left" vertical="top" indent="1"/>
    </xf>
    <xf numFmtId="0" fontId="12" fillId="37" borderId="31" applyNumberFormat="0" applyProtection="0">
      <alignment horizontal="left" vertical="center" indent="1"/>
    </xf>
    <xf numFmtId="4" fontId="24" fillId="38" borderId="34" applyNumberFormat="0" applyProtection="0">
      <alignment horizontal="right" vertical="center"/>
    </xf>
    <xf numFmtId="4" fontId="24" fillId="39" borderId="34" applyNumberFormat="0" applyProtection="0">
      <alignment horizontal="right" vertical="center"/>
    </xf>
    <xf numFmtId="4" fontId="24" fillId="40" borderId="34" applyNumberFormat="0" applyProtection="0">
      <alignment horizontal="right" vertical="center"/>
    </xf>
    <xf numFmtId="4" fontId="24" fillId="41" borderId="34" applyNumberFormat="0" applyProtection="0">
      <alignment horizontal="right" vertical="center"/>
    </xf>
    <xf numFmtId="4" fontId="24" fillId="42" borderId="34" applyNumberFormat="0" applyProtection="0">
      <alignment horizontal="right" vertical="center"/>
    </xf>
    <xf numFmtId="4" fontId="24" fillId="43" borderId="34" applyNumberFormat="0" applyProtection="0">
      <alignment horizontal="right" vertical="center"/>
    </xf>
    <xf numFmtId="4" fontId="24" fillId="44" borderId="34" applyNumberFormat="0" applyProtection="0">
      <alignment horizontal="right" vertical="center"/>
    </xf>
    <xf numFmtId="4" fontId="24" fillId="45" borderId="34" applyNumberFormat="0" applyProtection="0">
      <alignment horizontal="right" vertical="center"/>
    </xf>
    <xf numFmtId="4" fontId="24" fillId="46" borderId="34" applyNumberFormat="0" applyProtection="0">
      <alignment horizontal="right" vertical="center"/>
    </xf>
    <xf numFmtId="4" fontId="96" fillId="47" borderId="31" applyNumberFormat="0" applyProtection="0">
      <alignment horizontal="left" vertical="center" indent="1"/>
    </xf>
    <xf numFmtId="4" fontId="24" fillId="48" borderId="35" applyNumberFormat="0" applyProtection="0">
      <alignment horizontal="left" vertical="center" indent="1"/>
    </xf>
    <xf numFmtId="4" fontId="97" fillId="49" borderId="0" applyNumberFormat="0" applyProtection="0">
      <alignment horizontal="left" vertical="center" indent="1"/>
    </xf>
    <xf numFmtId="0" fontId="12" fillId="37" borderId="31" applyNumberFormat="0" applyProtection="0">
      <alignment horizontal="left" vertical="center" indent="1"/>
    </xf>
    <xf numFmtId="4" fontId="24" fillId="48" borderId="31" applyNumberFormat="0" applyProtection="0">
      <alignment horizontal="left" vertical="center" indent="1"/>
    </xf>
    <xf numFmtId="4" fontId="24" fillId="50" borderId="31" applyNumberFormat="0" applyProtection="0">
      <alignment horizontal="left" vertical="center" indent="1"/>
    </xf>
    <xf numFmtId="0" fontId="12" fillId="49" borderId="34" applyNumberFormat="0" applyProtection="0">
      <alignment horizontal="left" vertical="center" indent="1"/>
    </xf>
    <xf numFmtId="0" fontId="12" fillId="49" borderId="34" applyNumberFormat="0" applyProtection="0">
      <alignment horizontal="left" vertical="top" indent="1"/>
    </xf>
    <xf numFmtId="0" fontId="12" fillId="51" borderId="34" applyNumberFormat="0" applyProtection="0">
      <alignment horizontal="left" vertical="center" indent="1"/>
    </xf>
    <xf numFmtId="0" fontId="12" fillId="51" borderId="34" applyNumberFormat="0" applyProtection="0">
      <alignment horizontal="left" vertical="top" indent="1"/>
    </xf>
    <xf numFmtId="0" fontId="12" fillId="52" borderId="34" applyNumberFormat="0" applyProtection="0">
      <alignment horizontal="left" vertical="center" indent="1"/>
    </xf>
    <xf numFmtId="0" fontId="12" fillId="52" borderId="34" applyNumberFormat="0" applyProtection="0">
      <alignment horizontal="left" vertical="top" indent="1"/>
    </xf>
    <xf numFmtId="0" fontId="12" fillId="53" borderId="34" applyNumberFormat="0" applyProtection="0">
      <alignment horizontal="left" vertical="center" indent="1"/>
    </xf>
    <xf numFmtId="0" fontId="12" fillId="53" borderId="34" applyNumberFormat="0" applyProtection="0">
      <alignment horizontal="left" vertical="top" indent="1"/>
    </xf>
    <xf numFmtId="4" fontId="24" fillId="6" borderId="34" applyNumberFormat="0" applyProtection="0">
      <alignment vertical="center"/>
    </xf>
    <xf numFmtId="4" fontId="98" fillId="6" borderId="34" applyNumberFormat="0" applyProtection="0">
      <alignment vertical="center"/>
    </xf>
    <xf numFmtId="4" fontId="24" fillId="6" borderId="34" applyNumberFormat="0" applyProtection="0">
      <alignment horizontal="left" vertical="center" indent="1"/>
    </xf>
    <xf numFmtId="0" fontId="24" fillId="6" borderId="34" applyNumberFormat="0" applyProtection="0">
      <alignment horizontal="left" vertical="top" indent="1"/>
    </xf>
    <xf numFmtId="4" fontId="24" fillId="48" borderId="31" applyNumberFormat="0" applyProtection="0">
      <alignment horizontal="right" vertical="center"/>
    </xf>
    <xf numFmtId="4" fontId="98" fillId="54" borderId="34" applyNumberFormat="0" applyProtection="0">
      <alignment horizontal="right" vertical="center"/>
    </xf>
    <xf numFmtId="0" fontId="12" fillId="37" borderId="31" applyNumberFormat="0" applyProtection="0">
      <alignment horizontal="left" vertical="center" indent="1"/>
    </xf>
    <xf numFmtId="0" fontId="12" fillId="37" borderId="31" applyNumberFormat="0" applyProtection="0">
      <alignment horizontal="left" vertical="center" indent="1"/>
    </xf>
    <xf numFmtId="0" fontId="99" fillId="0" borderId="0"/>
    <xf numFmtId="4" fontId="100" fillId="54" borderId="34" applyNumberFormat="0" applyProtection="0">
      <alignment horizontal="right" vertical="center"/>
    </xf>
    <xf numFmtId="237" fontId="10" fillId="0" borderId="0">
      <protection locked="0"/>
    </xf>
    <xf numFmtId="1" fontId="10" fillId="0" borderId="0" applyBorder="0">
      <alignment horizontal="left" vertical="top" wrapText="1"/>
    </xf>
    <xf numFmtId="3" fontId="12" fillId="5" borderId="36" applyFont="0" applyFill="0" applyBorder="0" applyAlignment="0" applyProtection="0"/>
    <xf numFmtId="39" fontId="12" fillId="5" borderId="36" applyFont="0" applyFill="0" applyBorder="0" applyAlignment="0" applyProtection="0"/>
    <xf numFmtId="238" fontId="12" fillId="5" borderId="36" applyFont="0" applyFill="0" applyBorder="0" applyAlignment="0" applyProtection="0"/>
    <xf numFmtId="37" fontId="12" fillId="5" borderId="37" applyFont="0" applyFill="0" applyBorder="0" applyAlignment="0" applyProtection="0"/>
    <xf numFmtId="10" fontId="12" fillId="5" borderId="36" applyFont="0" applyFill="0" applyBorder="0" applyAlignment="0" applyProtection="0"/>
    <xf numFmtId="9" fontId="12" fillId="5" borderId="36" applyFont="0" applyFill="0" applyBorder="0" applyAlignment="0" applyProtection="0"/>
    <xf numFmtId="2" fontId="12" fillId="5" borderId="36" applyFont="0" applyFill="0" applyBorder="0" applyAlignment="0" applyProtection="0"/>
    <xf numFmtId="0" fontId="23" fillId="0" borderId="0"/>
    <xf numFmtId="0" fontId="12" fillId="0" borderId="3"/>
    <xf numFmtId="0" fontId="101" fillId="0" borderId="0"/>
    <xf numFmtId="0" fontId="9" fillId="0" borderId="0"/>
    <xf numFmtId="0" fontId="75" fillId="0" borderId="0"/>
    <xf numFmtId="40" fontId="102" fillId="0" borderId="0" applyBorder="0">
      <alignment horizontal="right"/>
    </xf>
    <xf numFmtId="0" fontId="103" fillId="0" borderId="38"/>
    <xf numFmtId="37" fontId="104" fillId="25" borderId="0"/>
    <xf numFmtId="0" fontId="16" fillId="0" borderId="16"/>
    <xf numFmtId="0" fontId="50" fillId="0" borderId="16"/>
    <xf numFmtId="212" fontId="105" fillId="0" borderId="0" applyNumberFormat="0" applyFill="0" applyBorder="0" applyAlignment="0" applyProtection="0"/>
    <xf numFmtId="49" fontId="24" fillId="0" borderId="0" applyFill="0" applyBorder="0" applyAlignment="0"/>
    <xf numFmtId="239" fontId="12" fillId="0" borderId="0" applyFill="0" applyBorder="0" applyAlignment="0"/>
    <xf numFmtId="240" fontId="12" fillId="0" borderId="0" applyFill="0" applyBorder="0" applyAlignment="0"/>
    <xf numFmtId="0" fontId="19" fillId="0" borderId="0" applyNumberFormat="0" applyFill="0" applyBorder="0" applyAlignment="0" applyProtection="0"/>
    <xf numFmtId="0" fontId="18" fillId="0" borderId="0" applyNumberFormat="0" applyFill="0" applyBorder="0" applyAlignment="0" applyProtection="0"/>
    <xf numFmtId="0" fontId="12" fillId="0" borderId="0"/>
    <xf numFmtId="241" fontId="106" fillId="0" borderId="0"/>
    <xf numFmtId="40" fontId="107" fillId="0" borderId="0"/>
    <xf numFmtId="0" fontId="108" fillId="55" borderId="0"/>
    <xf numFmtId="0" fontId="109" fillId="55" borderId="0"/>
    <xf numFmtId="1" fontId="18" fillId="0" borderId="39" applyNumberFormat="0" applyFill="0" applyProtection="0">
      <alignment horizontal="left" vertical="center"/>
    </xf>
    <xf numFmtId="1" fontId="18" fillId="0" borderId="13" applyNumberFormat="0" applyFill="0" applyProtection="0">
      <alignment horizontal="left" vertical="center"/>
    </xf>
    <xf numFmtId="0" fontId="110" fillId="0" borderId="40" applyNumberFormat="0" applyFill="0" applyAlignment="0" applyProtection="0"/>
    <xf numFmtId="0" fontId="110" fillId="0" borderId="40" applyNumberFormat="0" applyFill="0" applyAlignment="0" applyProtection="0"/>
    <xf numFmtId="0" fontId="110" fillId="0" borderId="40" applyNumberFormat="0" applyFill="0" applyAlignment="0" applyProtection="0"/>
    <xf numFmtId="0" fontId="110" fillId="0" borderId="40" applyNumberFormat="0" applyFill="0" applyAlignment="0" applyProtection="0"/>
    <xf numFmtId="0" fontId="110" fillId="0" borderId="40" applyNumberFormat="0" applyFill="0" applyAlignment="0" applyProtection="0"/>
    <xf numFmtId="0" fontId="110" fillId="0" borderId="40" applyNumberFormat="0" applyFill="0" applyAlignment="0" applyProtection="0"/>
    <xf numFmtId="0" fontId="72" fillId="0" borderId="41"/>
    <xf numFmtId="0" fontId="111" fillId="0" borderId="41"/>
    <xf numFmtId="0" fontId="72" fillId="0" borderId="16"/>
    <xf numFmtId="0" fontId="111" fillId="0" borderId="16"/>
    <xf numFmtId="242" fontId="46" fillId="0" borderId="0" applyFill="0" applyBorder="0" applyAlignment="0" applyProtection="0"/>
    <xf numFmtId="202" fontId="46" fillId="0" borderId="0" applyFill="0" applyBorder="0" applyAlignment="0" applyProtection="0"/>
    <xf numFmtId="0" fontId="48" fillId="0" borderId="42" applyNumberFormat="0" applyFill="0" applyProtection="0"/>
    <xf numFmtId="243" fontId="46" fillId="0" borderId="0" applyFill="0" applyBorder="0" applyAlignment="0" applyProtection="0"/>
    <xf numFmtId="244" fontId="46" fillId="0" borderId="0" applyFill="0" applyBorder="0" applyAlignment="0" applyProtection="0"/>
    <xf numFmtId="245" fontId="46" fillId="0" borderId="0" applyFill="0" applyBorder="0" applyAlignment="0" applyProtection="0"/>
    <xf numFmtId="0" fontId="12" fillId="0" borderId="0">
      <alignment horizontal="center" textRotation="180"/>
    </xf>
    <xf numFmtId="1" fontId="112" fillId="0" borderId="13" applyNumberFormat="0" applyFill="0" applyAlignment="0" applyProtection="0">
      <alignment horizontal="left"/>
    </xf>
    <xf numFmtId="246" fontId="46" fillId="0" borderId="0" applyFill="0" applyBorder="0" applyAlignment="0" applyProtection="0"/>
    <xf numFmtId="247" fontId="46" fillId="0" borderId="0" applyFill="0" applyBorder="0" applyAlignment="0" applyProtection="0"/>
    <xf numFmtId="248" fontId="12" fillId="0" borderId="0" applyFont="0" applyFill="0" applyBorder="0" applyAlignment="0" applyProtection="0"/>
    <xf numFmtId="249" fontId="12" fillId="0" borderId="0" applyFont="0" applyFill="0" applyBorder="0" applyAlignment="0" applyProtection="0"/>
    <xf numFmtId="250" fontId="54" fillId="0" borderId="0" applyFon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4" fillId="0" borderId="0"/>
    <xf numFmtId="0" fontId="115" fillId="0" borderId="0" applyNumberFormat="0" applyFill="0" applyBorder="0" applyAlignment="0" applyProtection="0"/>
    <xf numFmtId="0" fontId="116" fillId="0" borderId="0" applyNumberFormat="0" applyFill="0" applyBorder="0" applyAlignment="0" applyProtection="0"/>
    <xf numFmtId="169" fontId="117" fillId="0" borderId="0" applyFont="0" applyFill="0" applyBorder="0" applyAlignment="0" applyProtection="0"/>
    <xf numFmtId="0" fontId="117" fillId="0" borderId="0"/>
    <xf numFmtId="40" fontId="118" fillId="0" borderId="0" applyFont="0" applyFill="0" applyBorder="0" applyAlignment="0" applyProtection="0"/>
    <xf numFmtId="38" fontId="118" fillId="0" borderId="0" applyFont="0" applyFill="0" applyBorder="0" applyAlignment="0" applyProtection="0"/>
    <xf numFmtId="0" fontId="119" fillId="0" borderId="0"/>
    <xf numFmtId="179" fontId="12" fillId="0" borderId="0" applyFont="0" applyFill="0" applyBorder="0" applyAlignment="0" applyProtection="0"/>
    <xf numFmtId="178" fontId="12" fillId="0" borderId="0" applyFont="0" applyFill="0" applyBorder="0" applyAlignment="0" applyProtection="0"/>
    <xf numFmtId="170" fontId="1" fillId="0" borderId="0" applyFont="0" applyFill="0" applyBorder="0" applyAlignment="0" applyProtection="0"/>
    <xf numFmtId="0" fontId="143" fillId="0" borderId="0" applyNumberFormat="0" applyFill="0" applyBorder="0" applyAlignment="0" applyProtection="0">
      <alignment vertical="top"/>
      <protection locked="0"/>
    </xf>
    <xf numFmtId="0" fontId="12" fillId="0" borderId="0" applyNumberFormat="0" applyFont="0" applyFill="0" applyBorder="0" applyAlignment="0" applyProtection="0"/>
    <xf numFmtId="0" fontId="12" fillId="0" borderId="0" applyNumberFormat="0" applyFont="0" applyFill="0" applyBorder="0" applyAlignment="0" applyProtection="0"/>
    <xf numFmtId="173" fontId="16" fillId="0" borderId="0"/>
    <xf numFmtId="173" fontId="16" fillId="0" borderId="0"/>
    <xf numFmtId="0" fontId="12" fillId="0" borderId="0"/>
    <xf numFmtId="0" fontId="150" fillId="0" borderId="0" applyFont="0" applyFill="0" applyBorder="0" applyAlignment="0" applyProtection="0"/>
    <xf numFmtId="0" fontId="150" fillId="0" borderId="0" applyFont="0" applyFill="0" applyBorder="0" applyAlignment="0" applyProtection="0"/>
    <xf numFmtId="0" fontId="150" fillId="0" borderId="0" applyFont="0" applyFill="0" applyBorder="0" applyAlignment="0" applyProtection="0"/>
    <xf numFmtId="0" fontId="150" fillId="0" borderId="0" applyFont="0" applyFill="0" applyBorder="0" applyAlignment="0" applyProtection="0"/>
    <xf numFmtId="0" fontId="150" fillId="0" borderId="0"/>
    <xf numFmtId="0" fontId="150" fillId="0" borderId="0"/>
    <xf numFmtId="0" fontId="37" fillId="0" borderId="0"/>
    <xf numFmtId="0" fontId="37" fillId="0" borderId="16"/>
    <xf numFmtId="0" fontId="37" fillId="0" borderId="16"/>
    <xf numFmtId="0" fontId="151" fillId="60" borderId="0"/>
    <xf numFmtId="0" fontId="152" fillId="0" borderId="41"/>
    <xf numFmtId="2" fontId="153" fillId="0" borderId="64"/>
    <xf numFmtId="0" fontId="152" fillId="61" borderId="16"/>
    <xf numFmtId="0" fontId="37" fillId="0" borderId="0"/>
    <xf numFmtId="40" fontId="154" fillId="0" borderId="0" applyFont="0" applyFill="0" applyBorder="0" applyAlignment="0" applyProtection="0"/>
    <xf numFmtId="38" fontId="154" fillId="0" borderId="0" applyFont="0" applyFill="0" applyBorder="0" applyAlignment="0" applyProtection="0"/>
    <xf numFmtId="0" fontId="154" fillId="0" borderId="0" applyFont="0" applyFill="0" applyBorder="0" applyAlignment="0" applyProtection="0"/>
    <xf numFmtId="0" fontId="154" fillId="0" borderId="0" applyFont="0" applyFill="0" applyBorder="0" applyAlignment="0" applyProtection="0"/>
    <xf numFmtId="10" fontId="12" fillId="0" borderId="0" applyFont="0" applyFill="0" applyBorder="0" applyAlignment="0" applyProtection="0"/>
    <xf numFmtId="0" fontId="155" fillId="0" borderId="0"/>
    <xf numFmtId="254" fontId="12" fillId="0" borderId="0" applyFont="0" applyFill="0" applyBorder="0" applyAlignment="0" applyProtection="0"/>
    <xf numFmtId="255" fontId="12" fillId="0" borderId="0" applyFont="0" applyFill="0" applyBorder="0" applyAlignment="0" applyProtection="0"/>
    <xf numFmtId="251" fontId="156" fillId="0" borderId="0" applyFont="0" applyFill="0" applyBorder="0" applyAlignment="0" applyProtection="0"/>
    <xf numFmtId="252" fontId="156" fillId="0" borderId="0" applyFont="0" applyFill="0" applyBorder="0" applyAlignment="0" applyProtection="0"/>
    <xf numFmtId="0" fontId="157" fillId="0" borderId="0"/>
    <xf numFmtId="256" fontId="158" fillId="0" borderId="0" applyFont="0" applyFill="0" applyBorder="0" applyAlignment="0" applyProtection="0"/>
  </cellStyleXfs>
  <cellXfs count="678">
    <xf numFmtId="0" fontId="0" fillId="0" borderId="0" xfId="0"/>
    <xf numFmtId="0" fontId="3" fillId="0" borderId="0" xfId="0" applyFont="1"/>
    <xf numFmtId="0" fontId="3" fillId="0" borderId="1" xfId="0" applyFont="1" applyBorder="1"/>
    <xf numFmtId="0" fontId="6" fillId="4" borderId="1" xfId="0" applyFont="1" applyFill="1" applyBorder="1" applyAlignment="1">
      <alignment horizontal="left" indent="2"/>
    </xf>
    <xf numFmtId="171" fontId="3" fillId="0" borderId="0" xfId="0" applyNumberFormat="1" applyFont="1"/>
    <xf numFmtId="0" fontId="7" fillId="0" borderId="1" xfId="0" applyFont="1" applyBorder="1" applyAlignment="1">
      <alignment horizontal="center"/>
    </xf>
    <xf numFmtId="0" fontId="3" fillId="0" borderId="1" xfId="0" applyFont="1" applyBorder="1" applyAlignment="1">
      <alignment horizontal="center"/>
    </xf>
    <xf numFmtId="0" fontId="2" fillId="0" borderId="14" xfId="0" applyFont="1" applyBorder="1"/>
    <xf numFmtId="0" fontId="3" fillId="0" borderId="28" xfId="0" applyFont="1" applyBorder="1"/>
    <xf numFmtId="0" fontId="121" fillId="0" borderId="0" xfId="0" applyFont="1" applyAlignment="1">
      <alignment horizontal="center"/>
    </xf>
    <xf numFmtId="0" fontId="121" fillId="0" borderId="28" xfId="0" applyFont="1" applyBorder="1" applyAlignment="1">
      <alignment horizontal="center"/>
    </xf>
    <xf numFmtId="0" fontId="3" fillId="0" borderId="14" xfId="0" applyFont="1" applyBorder="1" applyAlignment="1">
      <alignment horizontal="left" indent="1"/>
    </xf>
    <xf numFmtId="0" fontId="2" fillId="0" borderId="0" xfId="0" applyFont="1"/>
    <xf numFmtId="2" fontId="4" fillId="56" borderId="5" xfId="3" applyNumberFormat="1" applyFont="1" applyFill="1" applyBorder="1" applyAlignment="1">
      <alignment horizontal="center" vertical="center" wrapText="1"/>
    </xf>
    <xf numFmtId="0" fontId="2" fillId="0" borderId="13" xfId="0" applyFont="1" applyBorder="1"/>
    <xf numFmtId="2" fontId="3" fillId="0" borderId="13" xfId="0" applyNumberFormat="1" applyFont="1" applyBorder="1" applyAlignment="1">
      <alignment horizontal="center"/>
    </xf>
    <xf numFmtId="2" fontId="3" fillId="0" borderId="13" xfId="2" applyNumberFormat="1" applyFont="1" applyFill="1" applyBorder="1" applyAlignment="1">
      <alignment horizontal="center"/>
    </xf>
    <xf numFmtId="0" fontId="3" fillId="0" borderId="11" xfId="0" applyFont="1" applyBorder="1" applyAlignment="1">
      <alignment horizontal="center"/>
    </xf>
    <xf numFmtId="0" fontId="7" fillId="0" borderId="11" xfId="0" applyFont="1" applyBorder="1" applyAlignment="1">
      <alignment horizontal="center"/>
    </xf>
    <xf numFmtId="1" fontId="123" fillId="2" borderId="0" xfId="0" applyNumberFormat="1" applyFont="1" applyFill="1"/>
    <xf numFmtId="169" fontId="3" fillId="0" borderId="1" xfId="2" applyFont="1" applyBorder="1"/>
    <xf numFmtId="10" fontId="3" fillId="0" borderId="0" xfId="1" applyNumberFormat="1" applyFont="1"/>
    <xf numFmtId="10" fontId="3" fillId="0" borderId="0" xfId="0" applyNumberFormat="1" applyFont="1"/>
    <xf numFmtId="0" fontId="0" fillId="0" borderId="0" xfId="0" applyAlignment="1">
      <alignment horizontal="right"/>
    </xf>
    <xf numFmtId="0" fontId="128" fillId="0" borderId="0" xfId="0" applyFont="1"/>
    <xf numFmtId="0" fontId="127" fillId="0" borderId="0" xfId="0" applyFont="1" applyAlignment="1">
      <alignment horizontal="center"/>
    </xf>
    <xf numFmtId="0" fontId="0" fillId="0" borderId="0" xfId="0" applyAlignment="1">
      <alignment horizontal="center"/>
    </xf>
    <xf numFmtId="0" fontId="129" fillId="0" borderId="0" xfId="0" applyFont="1" applyAlignment="1">
      <alignment horizontal="right"/>
    </xf>
    <xf numFmtId="0" fontId="126" fillId="0" borderId="0" xfId="0" applyFont="1" applyAlignment="1">
      <alignment horizontal="right"/>
    </xf>
    <xf numFmtId="0" fontId="0" fillId="0" borderId="1" xfId="0" applyBorder="1" applyAlignment="1">
      <alignment horizontal="left"/>
    </xf>
    <xf numFmtId="2" fontId="0" fillId="57" borderId="1" xfId="2" applyNumberFormat="1" applyFont="1" applyFill="1" applyBorder="1" applyAlignment="1">
      <alignment horizontal="center"/>
    </xf>
    <xf numFmtId="10" fontId="0" fillId="0" borderId="0" xfId="1" applyNumberFormat="1" applyFont="1" applyFill="1" applyBorder="1" applyAlignment="1">
      <alignment horizontal="right"/>
    </xf>
    <xf numFmtId="2" fontId="126" fillId="0" borderId="0" xfId="2" applyNumberFormat="1" applyFont="1" applyFill="1" applyBorder="1" applyAlignment="1">
      <alignment horizontal="right"/>
    </xf>
    <xf numFmtId="0" fontId="0" fillId="0" borderId="0" xfId="0" applyAlignment="1">
      <alignment horizontal="left"/>
    </xf>
    <xf numFmtId="169" fontId="0" fillId="0" borderId="0" xfId="0" applyNumberFormat="1"/>
    <xf numFmtId="0" fontId="130" fillId="0" borderId="0" xfId="0" applyFont="1"/>
    <xf numFmtId="169" fontId="6" fillId="0" borderId="0" xfId="2" applyFont="1" applyFill="1" applyBorder="1"/>
    <xf numFmtId="17" fontId="3" fillId="0" borderId="13" xfId="0" applyNumberFormat="1" applyFont="1" applyBorder="1" applyAlignment="1">
      <alignment horizontal="center"/>
    </xf>
    <xf numFmtId="17" fontId="3" fillId="0" borderId="1" xfId="0" applyNumberFormat="1" applyFont="1" applyBorder="1" applyAlignment="1">
      <alignment horizontal="center"/>
    </xf>
    <xf numFmtId="2" fontId="3" fillId="0" borderId="1" xfId="0" applyNumberFormat="1" applyFont="1" applyBorder="1" applyAlignment="1">
      <alignment horizontal="center"/>
    </xf>
    <xf numFmtId="2" fontId="2" fillId="0" borderId="1" xfId="2" applyNumberFormat="1" applyFont="1" applyFill="1" applyBorder="1" applyAlignment="1">
      <alignment horizontal="center"/>
    </xf>
    <xf numFmtId="169" fontId="0" fillId="0" borderId="0" xfId="0" applyNumberFormat="1" applyAlignment="1">
      <alignment horizontal="center"/>
    </xf>
    <xf numFmtId="1" fontId="4" fillId="2" borderId="45" xfId="0" applyNumberFormat="1" applyFont="1" applyFill="1" applyBorder="1" applyAlignment="1">
      <alignment wrapText="1"/>
    </xf>
    <xf numFmtId="0" fontId="3" fillId="0" borderId="44" xfId="0" applyFont="1" applyBorder="1"/>
    <xf numFmtId="169" fontId="3" fillId="0" borderId="13" xfId="2" applyFont="1" applyBorder="1"/>
    <xf numFmtId="171" fontId="3" fillId="0" borderId="13" xfId="2" applyNumberFormat="1" applyFont="1" applyBorder="1"/>
    <xf numFmtId="9" fontId="3" fillId="0" borderId="13" xfId="1" applyFont="1" applyBorder="1"/>
    <xf numFmtId="0" fontId="3" fillId="0" borderId="13" xfId="0" applyFont="1" applyBorder="1"/>
    <xf numFmtId="9" fontId="3" fillId="0" borderId="13" xfId="1" applyFont="1" applyBorder="1" applyAlignment="1"/>
    <xf numFmtId="169" fontId="6" fillId="4" borderId="7" xfId="2" applyFont="1" applyFill="1" applyBorder="1"/>
    <xf numFmtId="1" fontId="4" fillId="2" borderId="0" xfId="0" applyNumberFormat="1" applyFont="1" applyFill="1" applyAlignment="1">
      <alignment horizontal="center"/>
    </xf>
    <xf numFmtId="0" fontId="133" fillId="0" borderId="0" xfId="0" applyFont="1"/>
    <xf numFmtId="0" fontId="134" fillId="2" borderId="1" xfId="0" applyFont="1" applyFill="1" applyBorder="1" applyAlignment="1">
      <alignment horizontal="left" vertical="center" wrapText="1"/>
    </xf>
    <xf numFmtId="0" fontId="135" fillId="0" borderId="1" xfId="0" applyFont="1" applyBorder="1" applyAlignment="1">
      <alignment horizontal="left" wrapText="1" indent="2"/>
    </xf>
    <xf numFmtId="0" fontId="133" fillId="0" borderId="1" xfId="0" applyFont="1" applyBorder="1" applyAlignment="1">
      <alignment horizontal="left" wrapText="1" indent="5"/>
    </xf>
    <xf numFmtId="169" fontId="133" fillId="0" borderId="1" xfId="2" applyFont="1" applyBorder="1" applyAlignment="1">
      <alignment horizontal="left" wrapText="1" indent="2"/>
    </xf>
    <xf numFmtId="169" fontId="136" fillId="4" borderId="1" xfId="0" applyNumberFormat="1" applyFont="1" applyFill="1" applyBorder="1" applyAlignment="1">
      <alignment horizontal="left" indent="2"/>
    </xf>
    <xf numFmtId="0" fontId="135" fillId="0" borderId="1" xfId="0" applyFont="1" applyBorder="1" applyAlignment="1">
      <alignment horizontal="left" indent="2"/>
    </xf>
    <xf numFmtId="169" fontId="135" fillId="0" borderId="1" xfId="2" applyFont="1" applyBorder="1" applyAlignment="1">
      <alignment horizontal="left" wrapText="1" indent="2"/>
    </xf>
    <xf numFmtId="0" fontId="133" fillId="0" borderId="1" xfId="0" applyFont="1" applyBorder="1" applyAlignment="1">
      <alignment horizontal="left" wrapText="1" indent="2"/>
    </xf>
    <xf numFmtId="0" fontId="136" fillId="4" borderId="1" xfId="0" applyFont="1" applyFill="1" applyBorder="1" applyAlignment="1">
      <alignment horizontal="left" indent="2"/>
    </xf>
    <xf numFmtId="169" fontId="136" fillId="0" borderId="0" xfId="2" applyFont="1" applyFill="1" applyBorder="1"/>
    <xf numFmtId="0" fontId="136" fillId="0" borderId="0" xfId="0" applyFont="1"/>
    <xf numFmtId="0" fontId="133" fillId="0" borderId="1" xfId="0" applyFont="1" applyBorder="1"/>
    <xf numFmtId="0" fontId="133" fillId="0" borderId="1" xfId="0" applyFont="1" applyBorder="1" applyAlignment="1">
      <alignment horizontal="left" vertical="top" wrapText="1" indent="2"/>
    </xf>
    <xf numFmtId="169" fontId="136" fillId="4" borderId="1" xfId="0" applyNumberFormat="1" applyFont="1" applyFill="1" applyBorder="1" applyAlignment="1">
      <alignment horizontal="left" wrapText="1" indent="2"/>
    </xf>
    <xf numFmtId="169" fontId="133" fillId="0" borderId="1" xfId="0" applyNumberFormat="1" applyFont="1" applyBorder="1" applyAlignment="1">
      <alignment horizontal="left" wrapText="1" indent="2"/>
    </xf>
    <xf numFmtId="9" fontId="133" fillId="0" borderId="0" xfId="1" applyFont="1"/>
    <xf numFmtId="169" fontId="133" fillId="0" borderId="0" xfId="0" applyNumberFormat="1" applyFont="1"/>
    <xf numFmtId="0" fontId="136" fillId="0" borderId="1" xfId="0" applyFont="1" applyBorder="1" applyAlignment="1">
      <alignment horizontal="left" indent="2"/>
    </xf>
    <xf numFmtId="169" fontId="136" fillId="0" borderId="1" xfId="0" applyNumberFormat="1" applyFont="1" applyBorder="1" applyAlignment="1">
      <alignment horizontal="left" indent="2"/>
    </xf>
    <xf numFmtId="0" fontId="136" fillId="0" borderId="0" xfId="0" applyFont="1" applyAlignment="1">
      <alignment horizontal="left" indent="2"/>
    </xf>
    <xf numFmtId="169" fontId="136" fillId="0" borderId="1" xfId="0" applyNumberFormat="1" applyFont="1" applyBorder="1" applyAlignment="1">
      <alignment horizontal="left" wrapText="1" indent="2"/>
    </xf>
    <xf numFmtId="169" fontId="137" fillId="0" borderId="1" xfId="0" applyNumberFormat="1" applyFont="1" applyBorder="1" applyAlignment="1">
      <alignment horizontal="left" indent="2"/>
    </xf>
    <xf numFmtId="0" fontId="138" fillId="0" borderId="1" xfId="0" applyFont="1" applyBorder="1" applyAlignment="1">
      <alignment horizontal="center"/>
    </xf>
    <xf numFmtId="0" fontId="138" fillId="0" borderId="11" xfId="0" applyFont="1" applyBorder="1" applyAlignment="1">
      <alignment horizontal="center"/>
    </xf>
    <xf numFmtId="0" fontId="138" fillId="0" borderId="1" xfId="0" applyFont="1" applyBorder="1"/>
    <xf numFmtId="169" fontId="138" fillId="0" borderId="11" xfId="2" applyFont="1" applyBorder="1" applyAlignment="1">
      <alignment horizontal="center"/>
    </xf>
    <xf numFmtId="10" fontId="136" fillId="0" borderId="0" xfId="1" applyNumberFormat="1" applyFont="1" applyFill="1" applyBorder="1" applyAlignment="1">
      <alignment horizontal="left" indent="2"/>
    </xf>
    <xf numFmtId="0" fontId="142" fillId="2" borderId="1" xfId="0" applyFont="1" applyFill="1" applyBorder="1" applyAlignment="1">
      <alignment horizontal="right" vertical="center"/>
    </xf>
    <xf numFmtId="0" fontId="7" fillId="0" borderId="11" xfId="0" applyFont="1" applyBorder="1" applyAlignment="1">
      <alignment horizontal="left"/>
    </xf>
    <xf numFmtId="0" fontId="3" fillId="0" borderId="10" xfId="0" applyFont="1" applyBorder="1" applyAlignment="1">
      <alignment horizontal="left"/>
    </xf>
    <xf numFmtId="0" fontId="3" fillId="0" borderId="6" xfId="0" applyFont="1" applyBorder="1" applyAlignment="1">
      <alignment horizontal="left"/>
    </xf>
    <xf numFmtId="0" fontId="3" fillId="0" borderId="11" xfId="0" applyFont="1" applyBorder="1" applyAlignment="1">
      <alignment horizontal="left"/>
    </xf>
    <xf numFmtId="0" fontId="135" fillId="0" borderId="0" xfId="0" applyFont="1"/>
    <xf numFmtId="1" fontId="4" fillId="2" borderId="5" xfId="0" applyNumberFormat="1" applyFont="1" applyFill="1" applyBorder="1" applyAlignment="1">
      <alignment wrapText="1"/>
    </xf>
    <xf numFmtId="0" fontId="3" fillId="0" borderId="13" xfId="0" applyFont="1" applyBorder="1" applyAlignment="1">
      <alignment horizontal="left" wrapText="1"/>
    </xf>
    <xf numFmtId="0" fontId="3" fillId="0" borderId="13" xfId="0" applyFont="1" applyBorder="1" applyAlignment="1">
      <alignment horizontal="left" vertical="center" wrapText="1"/>
    </xf>
    <xf numFmtId="0" fontId="6" fillId="4" borderId="7" xfId="0" applyFont="1" applyFill="1" applyBorder="1" applyAlignment="1">
      <alignment horizontal="left" indent="2"/>
    </xf>
    <xf numFmtId="0" fontId="133" fillId="0" borderId="0" xfId="0" applyFont="1" applyAlignment="1">
      <alignment horizontal="left" wrapText="1" indent="5"/>
    </xf>
    <xf numFmtId="0" fontId="138" fillId="0" borderId="10" xfId="0" applyFont="1" applyBorder="1" applyAlignment="1">
      <alignment horizontal="left"/>
    </xf>
    <xf numFmtId="0" fontId="138" fillId="0" borderId="6" xfId="0" applyFont="1" applyBorder="1" applyAlignment="1">
      <alignment horizontal="left"/>
    </xf>
    <xf numFmtId="0" fontId="138" fillId="0" borderId="11" xfId="0" applyFont="1" applyBorder="1" applyAlignment="1">
      <alignment horizontal="left"/>
    </xf>
    <xf numFmtId="169" fontId="138" fillId="0" borderId="11" xfId="2" applyFont="1" applyBorder="1"/>
    <xf numFmtId="0" fontId="124" fillId="0" borderId="0" xfId="0" applyFont="1" applyAlignment="1">
      <alignment horizontal="center"/>
    </xf>
    <xf numFmtId="2" fontId="124" fillId="0" borderId="0" xfId="0" applyNumberFormat="1" applyFont="1" applyAlignment="1">
      <alignment horizontal="center"/>
    </xf>
    <xf numFmtId="0" fontId="124" fillId="0" borderId="6" xfId="0" applyFont="1" applyBorder="1" applyAlignment="1">
      <alignment horizontal="center"/>
    </xf>
    <xf numFmtId="15" fontId="134" fillId="2" borderId="0" xfId="0" applyNumberFormat="1" applyFont="1" applyFill="1" applyAlignment="1">
      <alignment horizontal="right" vertical="center"/>
    </xf>
    <xf numFmtId="10" fontId="3" fillId="0" borderId="13" xfId="1" applyNumberFormat="1" applyFont="1" applyBorder="1"/>
    <xf numFmtId="10" fontId="3" fillId="0" borderId="13" xfId="1" applyNumberFormat="1" applyFont="1" applyBorder="1" applyAlignment="1"/>
    <xf numFmtId="0" fontId="132" fillId="2" borderId="10" xfId="0" applyFont="1" applyFill="1" applyBorder="1" applyAlignment="1">
      <alignment horizontal="center"/>
    </xf>
    <xf numFmtId="0" fontId="132" fillId="2" borderId="6" xfId="0" applyFont="1" applyFill="1" applyBorder="1" applyAlignment="1">
      <alignment horizontal="center"/>
    </xf>
    <xf numFmtId="0" fontId="4" fillId="2" borderId="1" xfId="0" applyFont="1" applyFill="1" applyBorder="1" applyAlignment="1">
      <alignment horizontal="left" vertical="center" wrapText="1"/>
    </xf>
    <xf numFmtId="15" fontId="144" fillId="2" borderId="1" xfId="0" applyNumberFormat="1" applyFont="1" applyFill="1" applyBorder="1" applyAlignment="1">
      <alignment horizontal="right" vertical="center"/>
    </xf>
    <xf numFmtId="0" fontId="145" fillId="0" borderId="13" xfId="0" applyFont="1" applyBorder="1"/>
    <xf numFmtId="0" fontId="3" fillId="0" borderId="13" xfId="0" applyFont="1" applyBorder="1" applyAlignment="1">
      <alignment horizontal="right"/>
    </xf>
    <xf numFmtId="0" fontId="124" fillId="0" borderId="13" xfId="0" applyFont="1" applyBorder="1"/>
    <xf numFmtId="169" fontId="3" fillId="0" borderId="13" xfId="2" applyFont="1" applyBorder="1" applyAlignment="1">
      <alignment horizontal="left" wrapText="1" indent="2"/>
    </xf>
    <xf numFmtId="2" fontId="3" fillId="0" borderId="0" xfId="0" applyNumberFormat="1" applyFont="1"/>
    <xf numFmtId="2" fontId="3" fillId="0" borderId="13" xfId="0" applyNumberFormat="1" applyFont="1" applyBorder="1"/>
    <xf numFmtId="169" fontId="4" fillId="2" borderId="1" xfId="2" applyFont="1" applyFill="1" applyBorder="1" applyAlignment="1">
      <alignment vertical="center"/>
    </xf>
    <xf numFmtId="169" fontId="3" fillId="0" borderId="48" xfId="2" applyFont="1" applyBorder="1" applyAlignment="1">
      <alignment horizontal="left" wrapText="1" indent="2"/>
    </xf>
    <xf numFmtId="0" fontId="121" fillId="0" borderId="13" xfId="0" applyFont="1" applyBorder="1"/>
    <xf numFmtId="169" fontId="4" fillId="2" borderId="1" xfId="2" applyFont="1" applyFill="1" applyBorder="1" applyAlignment="1">
      <alignment horizontal="left" vertical="center" wrapText="1"/>
    </xf>
    <xf numFmtId="0" fontId="3" fillId="0" borderId="14" xfId="0" applyFont="1" applyBorder="1"/>
    <xf numFmtId="169" fontId="3" fillId="0" borderId="0" xfId="0" applyNumberFormat="1" applyFont="1"/>
    <xf numFmtId="169" fontId="4" fillId="2" borderId="1" xfId="0" applyNumberFormat="1" applyFont="1" applyFill="1" applyBorder="1" applyAlignment="1">
      <alignment horizontal="left" vertical="center" wrapText="1"/>
    </xf>
    <xf numFmtId="0" fontId="146" fillId="58" borderId="43" xfId="1028" applyFont="1" applyFill="1" applyBorder="1"/>
    <xf numFmtId="0" fontId="147" fillId="0" borderId="0" xfId="1028" applyFont="1"/>
    <xf numFmtId="0" fontId="146" fillId="58" borderId="14" xfId="1028" applyFont="1" applyFill="1" applyBorder="1"/>
    <xf numFmtId="0" fontId="146" fillId="58" borderId="0" xfId="1028" applyFont="1" applyFill="1"/>
    <xf numFmtId="0" fontId="146" fillId="58" borderId="42" xfId="1028" applyFont="1" applyFill="1" applyBorder="1"/>
    <xf numFmtId="0" fontId="146" fillId="58" borderId="28" xfId="1028" applyFont="1" applyFill="1" applyBorder="1"/>
    <xf numFmtId="0" fontId="146" fillId="58" borderId="2" xfId="1028" applyFont="1" applyFill="1" applyBorder="1"/>
    <xf numFmtId="0" fontId="146" fillId="58" borderId="3" xfId="1028" applyFont="1" applyFill="1" applyBorder="1"/>
    <xf numFmtId="0" fontId="132" fillId="58" borderId="3" xfId="1028" applyFont="1" applyFill="1" applyBorder="1" applyAlignment="1">
      <alignment horizontal="center"/>
    </xf>
    <xf numFmtId="0" fontId="132" fillId="58" borderId="0" xfId="1028" applyFont="1" applyFill="1" applyAlignment="1">
      <alignment horizontal="center"/>
    </xf>
    <xf numFmtId="0" fontId="148" fillId="0" borderId="2" xfId="1028" applyFont="1" applyBorder="1"/>
    <xf numFmtId="0" fontId="148" fillId="0" borderId="3" xfId="1028" applyFont="1" applyBorder="1"/>
    <xf numFmtId="0" fontId="147" fillId="0" borderId="3" xfId="1028" applyFont="1" applyBorder="1"/>
    <xf numFmtId="0" fontId="147" fillId="0" borderId="43" xfId="1028" applyFont="1" applyBorder="1"/>
    <xf numFmtId="0" fontId="147" fillId="0" borderId="1" xfId="1028" applyFont="1" applyBorder="1"/>
    <xf numFmtId="0" fontId="131" fillId="0" borderId="14" xfId="1028" applyFont="1" applyBorder="1" applyAlignment="1">
      <alignment horizontal="center"/>
    </xf>
    <xf numFmtId="0" fontId="131" fillId="0" borderId="0" xfId="1028" applyFont="1" applyAlignment="1">
      <alignment horizontal="center"/>
    </xf>
    <xf numFmtId="0" fontId="147" fillId="0" borderId="28" xfId="1028" applyFont="1" applyBorder="1"/>
    <xf numFmtId="2" fontId="147" fillId="0" borderId="1" xfId="1028" applyNumberFormat="1" applyFont="1" applyBorder="1"/>
    <xf numFmtId="0" fontId="147" fillId="0" borderId="14" xfId="1028" applyFont="1" applyBorder="1"/>
    <xf numFmtId="1" fontId="147" fillId="0" borderId="11" xfId="1028" applyNumberFormat="1" applyFont="1" applyBorder="1"/>
    <xf numFmtId="1" fontId="147" fillId="0" borderId="1" xfId="1028" applyNumberFormat="1" applyFont="1" applyBorder="1"/>
    <xf numFmtId="9" fontId="3" fillId="0" borderId="1" xfId="1" applyFont="1" applyFill="1" applyBorder="1"/>
    <xf numFmtId="1" fontId="147" fillId="57" borderId="11" xfId="1028" applyNumberFormat="1" applyFont="1" applyFill="1" applyBorder="1"/>
    <xf numFmtId="1" fontId="147" fillId="57" borderId="1" xfId="1028" applyNumberFormat="1" applyFont="1" applyFill="1" applyBorder="1"/>
    <xf numFmtId="171" fontId="147" fillId="57" borderId="1" xfId="2" applyNumberFormat="1" applyFont="1" applyFill="1" applyBorder="1"/>
    <xf numFmtId="10" fontId="3" fillId="0" borderId="28" xfId="1815" applyNumberFormat="1" applyFont="1" applyBorder="1" applyAlignment="1">
      <alignment horizontal="left"/>
    </xf>
    <xf numFmtId="1" fontId="147" fillId="0" borderId="1" xfId="1028" applyNumberFormat="1" applyFont="1" applyBorder="1" applyAlignment="1">
      <alignment horizontal="right"/>
    </xf>
    <xf numFmtId="171" fontId="147" fillId="0" borderId="1" xfId="2" applyNumberFormat="1" applyFont="1" applyBorder="1" applyAlignment="1">
      <alignment horizontal="right"/>
    </xf>
    <xf numFmtId="0" fontId="147" fillId="4" borderId="14" xfId="1028" applyFont="1" applyFill="1" applyBorder="1"/>
    <xf numFmtId="0" fontId="147" fillId="4" borderId="0" xfId="1028" applyFont="1" applyFill="1"/>
    <xf numFmtId="0" fontId="147" fillId="4" borderId="28" xfId="1028" applyFont="1" applyFill="1" applyBorder="1"/>
    <xf numFmtId="2" fontId="131" fillId="4" borderId="1" xfId="1028" applyNumberFormat="1" applyFont="1" applyFill="1" applyBorder="1"/>
    <xf numFmtId="0" fontId="139" fillId="0" borderId="11" xfId="0" applyFont="1" applyBorder="1" applyAlignment="1">
      <alignment horizontal="left"/>
    </xf>
    <xf numFmtId="0" fontId="3" fillId="0" borderId="13" xfId="0" quotePrefix="1" applyFont="1" applyBorder="1"/>
    <xf numFmtId="0" fontId="3" fillId="0" borderId="42" xfId="0" applyFont="1" applyBorder="1" applyAlignment="1">
      <alignment horizontal="left" wrapText="1"/>
    </xf>
    <xf numFmtId="169" fontId="138" fillId="0" borderId="11" xfId="0" applyNumberFormat="1" applyFont="1" applyBorder="1" applyAlignment="1">
      <alignment horizontal="center"/>
    </xf>
    <xf numFmtId="169" fontId="138" fillId="0" borderId="1" xfId="0" applyNumberFormat="1" applyFont="1" applyBorder="1" applyAlignment="1">
      <alignment horizontal="center"/>
    </xf>
    <xf numFmtId="169" fontId="3" fillId="0" borderId="1" xfId="2" applyFont="1" applyBorder="1" applyAlignment="1">
      <alignment horizontal="right"/>
    </xf>
    <xf numFmtId="15" fontId="4" fillId="2" borderId="1" xfId="0" applyNumberFormat="1" applyFont="1" applyFill="1" applyBorder="1" applyAlignment="1">
      <alignment horizontal="right" vertical="center"/>
    </xf>
    <xf numFmtId="0" fontId="3" fillId="0" borderId="1" xfId="0" applyFont="1" applyBorder="1" applyAlignment="1">
      <alignment wrapText="1"/>
    </xf>
    <xf numFmtId="169" fontId="3" fillId="0" borderId="5" xfId="2" applyFont="1" applyBorder="1"/>
    <xf numFmtId="0" fontId="6" fillId="0" borderId="5" xfId="0" applyFont="1" applyBorder="1" applyAlignment="1">
      <alignment wrapText="1"/>
    </xf>
    <xf numFmtId="0" fontId="131" fillId="0" borderId="0" xfId="0" applyFont="1"/>
    <xf numFmtId="0" fontId="147" fillId="0" borderId="0" xfId="0" applyFont="1"/>
    <xf numFmtId="0" fontId="147" fillId="0" borderId="0" xfId="0" applyFont="1" applyAlignment="1">
      <alignment horizontal="center"/>
    </xf>
    <xf numFmtId="2" fontId="147" fillId="0" borderId="0" xfId="0" applyNumberFormat="1" applyFont="1"/>
    <xf numFmtId="0" fontId="138" fillId="0" borderId="0" xfId="0" applyFont="1"/>
    <xf numFmtId="0" fontId="131" fillId="0" borderId="51" xfId="0" applyFont="1" applyBorder="1"/>
    <xf numFmtId="0" fontId="147" fillId="0" borderId="9" xfId="0" applyFont="1" applyBorder="1"/>
    <xf numFmtId="0" fontId="147" fillId="0" borderId="9" xfId="0" applyFont="1" applyBorder="1" applyAlignment="1">
      <alignment horizontal="center"/>
    </xf>
    <xf numFmtId="2" fontId="147" fillId="0" borderId="9" xfId="0" applyNumberFormat="1" applyFont="1" applyBorder="1"/>
    <xf numFmtId="2" fontId="131" fillId="0" borderId="9" xfId="0" applyNumberFormat="1" applyFont="1" applyBorder="1" applyAlignment="1">
      <alignment horizontal="right"/>
    </xf>
    <xf numFmtId="0" fontId="139" fillId="0" borderId="9" xfId="0" applyFont="1" applyBorder="1" applyAlignment="1">
      <alignment horizontal="right"/>
    </xf>
    <xf numFmtId="0" fontId="139" fillId="0" borderId="52" xfId="0" applyFont="1" applyBorder="1" applyAlignment="1">
      <alignment horizontal="right"/>
    </xf>
    <xf numFmtId="180" fontId="131" fillId="0" borderId="53" xfId="2181" applyNumberFormat="1" applyFont="1" applyBorder="1"/>
    <xf numFmtId="180" fontId="147" fillId="0" borderId="0" xfId="2181" applyNumberFormat="1" applyFont="1"/>
    <xf numFmtId="180" fontId="147" fillId="0" borderId="0" xfId="2181" applyNumberFormat="1" applyFont="1" applyAlignment="1">
      <alignment horizontal="center"/>
    </xf>
    <xf numFmtId="0" fontId="138" fillId="0" borderId="54" xfId="0" applyFont="1" applyBorder="1"/>
    <xf numFmtId="180" fontId="147" fillId="0" borderId="53" xfId="2181" applyNumberFormat="1" applyFont="1" applyBorder="1" applyAlignment="1">
      <alignment horizontal="left"/>
    </xf>
    <xf numFmtId="180" fontId="147" fillId="0" borderId="0" xfId="2181" quotePrefix="1" applyNumberFormat="1" applyFont="1" applyAlignment="1">
      <alignment horizontal="left"/>
    </xf>
    <xf numFmtId="180" fontId="147" fillId="0" borderId="53" xfId="2181" applyNumberFormat="1" applyFont="1" applyBorder="1"/>
    <xf numFmtId="180" fontId="131" fillId="0" borderId="53" xfId="2181" applyNumberFormat="1" applyFont="1" applyBorder="1" applyAlignment="1">
      <alignment horizontal="left"/>
    </xf>
    <xf numFmtId="2" fontId="147" fillId="0" borderId="0" xfId="2181" applyNumberFormat="1" applyFont="1"/>
    <xf numFmtId="180" fontId="131" fillId="0" borderId="0" xfId="2182" quotePrefix="1" applyNumberFormat="1" applyFont="1" applyAlignment="1">
      <alignment horizontal="right"/>
    </xf>
    <xf numFmtId="0" fontId="138" fillId="0" borderId="0" xfId="0" applyFont="1" applyAlignment="1">
      <alignment horizontal="right"/>
    </xf>
    <xf numFmtId="0" fontId="138" fillId="0" borderId="54" xfId="0" applyFont="1" applyBorder="1" applyAlignment="1">
      <alignment horizontal="right"/>
    </xf>
    <xf numFmtId="0" fontId="147" fillId="0" borderId="53" xfId="2181" applyNumberFormat="1" applyFont="1" applyBorder="1" applyAlignment="1">
      <alignment horizontal="center"/>
    </xf>
    <xf numFmtId="253" fontId="147" fillId="0" borderId="0" xfId="0" applyNumberFormat="1" applyFont="1" applyAlignment="1">
      <alignment horizontal="center"/>
    </xf>
    <xf numFmtId="169" fontId="147" fillId="0" borderId="0" xfId="2" applyFont="1" applyFill="1" applyBorder="1" applyAlignment="1">
      <alignment horizontal="right"/>
    </xf>
    <xf numFmtId="2" fontId="138" fillId="0" borderId="0" xfId="0" applyNumberFormat="1" applyFont="1"/>
    <xf numFmtId="253" fontId="147" fillId="0" borderId="6" xfId="0" applyNumberFormat="1" applyFont="1" applyBorder="1" applyAlignment="1">
      <alignment horizontal="center"/>
    </xf>
    <xf numFmtId="169" fontId="147" fillId="0" borderId="0" xfId="2" applyFont="1" applyBorder="1" applyAlignment="1">
      <alignment horizontal="right"/>
    </xf>
    <xf numFmtId="2" fontId="147" fillId="0" borderId="6" xfId="0" applyNumberFormat="1" applyFont="1" applyBorder="1"/>
    <xf numFmtId="180" fontId="147" fillId="0" borderId="0" xfId="2181" applyNumberFormat="1" applyFont="1" applyAlignment="1">
      <alignment horizontal="left"/>
    </xf>
    <xf numFmtId="0" fontId="138" fillId="57" borderId="0" xfId="0" applyFont="1" applyFill="1"/>
    <xf numFmtId="0" fontId="147" fillId="0" borderId="53" xfId="0" applyFont="1" applyBorder="1"/>
    <xf numFmtId="0" fontId="147" fillId="0" borderId="62" xfId="0" applyFont="1" applyBorder="1"/>
    <xf numFmtId="0" fontId="147" fillId="0" borderId="8" xfId="0" applyFont="1" applyBorder="1"/>
    <xf numFmtId="0" fontId="147" fillId="0" borderId="8" xfId="0" applyFont="1" applyBorder="1" applyAlignment="1">
      <alignment horizontal="center"/>
    </xf>
    <xf numFmtId="2" fontId="147" fillId="0" borderId="8" xfId="0" applyNumberFormat="1" applyFont="1" applyBorder="1"/>
    <xf numFmtId="0" fontId="138" fillId="0" borderId="8" xfId="0" applyFont="1" applyBorder="1"/>
    <xf numFmtId="0" fontId="138" fillId="0" borderId="63" xfId="0" applyFont="1" applyBorder="1"/>
    <xf numFmtId="0" fontId="147" fillId="0" borderId="0" xfId="0" applyFont="1" applyAlignment="1">
      <alignment horizontal="center" vertical="center"/>
    </xf>
    <xf numFmtId="0" fontId="131" fillId="0" borderId="0" xfId="0" applyFont="1" applyAlignment="1">
      <alignment horizontal="center" vertical="center"/>
    </xf>
    <xf numFmtId="180" fontId="131" fillId="0" borderId="0" xfId="2181" applyNumberFormat="1" applyFont="1"/>
    <xf numFmtId="0" fontId="131" fillId="0" borderId="0" xfId="0" applyFont="1" applyAlignment="1">
      <alignment horizontal="center"/>
    </xf>
    <xf numFmtId="2" fontId="131" fillId="0" borderId="0" xfId="0" applyNumberFormat="1" applyFont="1"/>
    <xf numFmtId="9" fontId="147" fillId="0" borderId="0" xfId="0" applyNumberFormat="1" applyFont="1" applyAlignment="1">
      <alignment horizontal="center"/>
    </xf>
    <xf numFmtId="180" fontId="132" fillId="58" borderId="55" xfId="2181" applyNumberFormat="1" applyFont="1" applyFill="1" applyBorder="1" applyAlignment="1">
      <alignment horizontal="center"/>
    </xf>
    <xf numFmtId="180" fontId="132" fillId="58" borderId="56" xfId="2181" applyNumberFormat="1" applyFont="1" applyFill="1" applyBorder="1"/>
    <xf numFmtId="180" fontId="132" fillId="58" borderId="56" xfId="2181" applyNumberFormat="1" applyFont="1" applyFill="1" applyBorder="1" applyAlignment="1">
      <alignment horizontal="center"/>
    </xf>
    <xf numFmtId="180" fontId="132" fillId="58" borderId="44" xfId="2181" applyNumberFormat="1" applyFont="1" applyFill="1" applyBorder="1" applyAlignment="1">
      <alignment horizontal="center"/>
    </xf>
    <xf numFmtId="180" fontId="132" fillId="58" borderId="57" xfId="2181" applyNumberFormat="1" applyFont="1" applyFill="1" applyBorder="1" applyAlignment="1">
      <alignment horizontal="center"/>
    </xf>
    <xf numFmtId="180" fontId="132" fillId="58" borderId="28" xfId="2181" applyNumberFormat="1" applyFont="1" applyFill="1" applyBorder="1"/>
    <xf numFmtId="180" fontId="132" fillId="58" borderId="28" xfId="2181" applyNumberFormat="1" applyFont="1" applyFill="1" applyBorder="1" applyAlignment="1">
      <alignment horizontal="center"/>
    </xf>
    <xf numFmtId="180" fontId="132" fillId="58" borderId="13" xfId="2181" applyNumberFormat="1" applyFont="1" applyFill="1" applyBorder="1" applyAlignment="1">
      <alignment horizontal="center"/>
    </xf>
    <xf numFmtId="1" fontId="132" fillId="58" borderId="11" xfId="2181" applyNumberFormat="1" applyFont="1" applyFill="1" applyBorder="1" applyAlignment="1">
      <alignment horizontal="center"/>
    </xf>
    <xf numFmtId="180" fontId="132" fillId="58" borderId="58" xfId="2181" applyNumberFormat="1" applyFont="1" applyFill="1" applyBorder="1" applyAlignment="1">
      <alignment horizontal="center"/>
    </xf>
    <xf numFmtId="180" fontId="132" fillId="58" borderId="59" xfId="2181" applyNumberFormat="1" applyFont="1" applyFill="1" applyBorder="1"/>
    <xf numFmtId="180" fontId="132" fillId="58" borderId="59" xfId="2181" applyNumberFormat="1" applyFont="1" applyFill="1" applyBorder="1" applyAlignment="1">
      <alignment horizontal="center"/>
    </xf>
    <xf numFmtId="180" fontId="132" fillId="58" borderId="45" xfId="2181" applyNumberFormat="1" applyFont="1" applyFill="1" applyBorder="1" applyAlignment="1">
      <alignment horizontal="center"/>
    </xf>
    <xf numFmtId="2" fontId="132" fillId="58" borderId="59" xfId="2181" applyNumberFormat="1" applyFont="1" applyFill="1" applyBorder="1" applyAlignment="1">
      <alignment horizontal="center"/>
    </xf>
    <xf numFmtId="0" fontId="146" fillId="58" borderId="60" xfId="0" applyFont="1" applyFill="1" applyBorder="1" applyAlignment="1">
      <alignment horizontal="center" vertical="center"/>
    </xf>
    <xf numFmtId="180" fontId="132" fillId="58" borderId="4" xfId="2181" applyNumberFormat="1" applyFont="1" applyFill="1" applyBorder="1"/>
    <xf numFmtId="253" fontId="132" fillId="58" borderId="39" xfId="0" applyNumberFormat="1" applyFont="1" applyFill="1" applyBorder="1" applyAlignment="1">
      <alignment horizontal="center"/>
    </xf>
    <xf numFmtId="0" fontId="146" fillId="58" borderId="4" xfId="0" applyFont="1" applyFill="1" applyBorder="1" applyAlignment="1">
      <alignment horizontal="center"/>
    </xf>
    <xf numFmtId="169" fontId="132" fillId="58" borderId="61" xfId="2" applyFont="1" applyFill="1" applyBorder="1" applyAlignment="1">
      <alignment horizontal="center"/>
    </xf>
    <xf numFmtId="169" fontId="132" fillId="58" borderId="4" xfId="2" applyFont="1" applyFill="1" applyBorder="1" applyAlignment="1">
      <alignment horizontal="center"/>
    </xf>
    <xf numFmtId="0" fontId="139" fillId="0" borderId="10" xfId="0" applyFont="1" applyBorder="1" applyAlignment="1">
      <alignment horizontal="left"/>
    </xf>
    <xf numFmtId="169" fontId="126" fillId="0" borderId="0" xfId="0" applyNumberFormat="1" applyFont="1" applyAlignment="1">
      <alignment horizontal="right"/>
    </xf>
    <xf numFmtId="171" fontId="3" fillId="0" borderId="11" xfId="2" applyNumberFormat="1" applyFont="1" applyBorder="1" applyAlignment="1">
      <alignment horizontal="left"/>
    </xf>
    <xf numFmtId="0" fontId="6" fillId="0" borderId="0" xfId="0" applyFont="1" applyAlignment="1">
      <alignment wrapText="1"/>
    </xf>
    <xf numFmtId="169" fontId="6" fillId="0" borderId="5" xfId="2" applyFont="1" applyFill="1" applyBorder="1"/>
    <xf numFmtId="169" fontId="2" fillId="0" borderId="1" xfId="2" applyFont="1" applyFill="1" applyBorder="1"/>
    <xf numFmtId="169" fontId="3" fillId="0" borderId="1" xfId="2" applyFont="1" applyFill="1" applyBorder="1"/>
    <xf numFmtId="0" fontId="6" fillId="0" borderId="1" xfId="0" applyFont="1" applyBorder="1" applyAlignment="1">
      <alignment wrapText="1"/>
    </xf>
    <xf numFmtId="0" fontId="2" fillId="0" borderId="5" xfId="0" applyFont="1" applyBorder="1" applyAlignment="1">
      <alignment wrapText="1"/>
    </xf>
    <xf numFmtId="169" fontId="8" fillId="0" borderId="5" xfId="2" applyFont="1" applyFill="1" applyBorder="1"/>
    <xf numFmtId="0" fontId="2" fillId="0" borderId="1" xfId="0" applyFont="1" applyBorder="1"/>
    <xf numFmtId="169" fontId="3" fillId="0" borderId="0" xfId="2" applyFont="1" applyFill="1" applyBorder="1"/>
    <xf numFmtId="171" fontId="6" fillId="0" borderId="0" xfId="2" applyNumberFormat="1" applyFont="1" applyFill="1" applyBorder="1"/>
    <xf numFmtId="0" fontId="8" fillId="0" borderId="0" xfId="0" applyFont="1" applyAlignment="1">
      <alignment wrapText="1"/>
    </xf>
    <xf numFmtId="0" fontId="6" fillId="4" borderId="0" xfId="0" applyFont="1" applyFill="1" applyAlignment="1">
      <alignment wrapText="1"/>
    </xf>
    <xf numFmtId="169" fontId="6" fillId="4" borderId="0" xfId="2" applyFont="1" applyFill="1" applyBorder="1"/>
    <xf numFmtId="0" fontId="6" fillId="4" borderId="6" xfId="0" applyFont="1" applyFill="1" applyBorder="1" applyAlignment="1">
      <alignment wrapText="1"/>
    </xf>
    <xf numFmtId="169" fontId="6" fillId="4" borderId="6" xfId="2" applyFont="1" applyFill="1" applyBorder="1"/>
    <xf numFmtId="169" fontId="3" fillId="4" borderId="0" xfId="2" applyFont="1" applyFill="1" applyBorder="1"/>
    <xf numFmtId="0" fontId="6" fillId="59" borderId="1" xfId="0" applyFont="1" applyFill="1" applyBorder="1" applyAlignment="1">
      <alignment wrapText="1"/>
    </xf>
    <xf numFmtId="169" fontId="3" fillId="59" borderId="1" xfId="2" applyFont="1" applyFill="1" applyBorder="1"/>
    <xf numFmtId="0" fontId="3" fillId="0" borderId="0" xfId="0" applyFont="1" applyAlignment="1">
      <alignment horizontal="left" wrapText="1" indent="2"/>
    </xf>
    <xf numFmtId="0" fontId="3" fillId="0" borderId="0" xfId="0" applyFont="1" applyAlignment="1">
      <alignment horizontal="left" vertical="top" wrapText="1" indent="2"/>
    </xf>
    <xf numFmtId="1" fontId="3" fillId="0" borderId="0" xfId="0" applyNumberFormat="1" applyFont="1"/>
    <xf numFmtId="171" fontId="2" fillId="0" borderId="0" xfId="2" applyNumberFormat="1" applyFont="1" applyFill="1" applyBorder="1"/>
    <xf numFmtId="0" fontId="6" fillId="0" borderId="0" xfId="0" applyFont="1" applyAlignment="1">
      <alignment horizontal="left" indent="2"/>
    </xf>
    <xf numFmtId="2" fontId="6" fillId="0" borderId="5" xfId="0" applyNumberFormat="1" applyFont="1" applyBorder="1" applyAlignment="1">
      <alignment wrapText="1"/>
    </xf>
    <xf numFmtId="0" fontId="8" fillId="0" borderId="5" xfId="0" applyFont="1" applyBorder="1" applyAlignment="1">
      <alignment wrapText="1"/>
    </xf>
    <xf numFmtId="0" fontId="3" fillId="59" borderId="1" xfId="0" applyFont="1" applyFill="1" applyBorder="1"/>
    <xf numFmtId="0" fontId="6" fillId="59" borderId="5" xfId="0" applyFont="1" applyFill="1" applyBorder="1" applyAlignment="1">
      <alignment wrapText="1"/>
    </xf>
    <xf numFmtId="2" fontId="6" fillId="59" borderId="5" xfId="0" applyNumberFormat="1" applyFont="1" applyFill="1" applyBorder="1" applyAlignment="1">
      <alignment wrapText="1"/>
    </xf>
    <xf numFmtId="0" fontId="146" fillId="58" borderId="3" xfId="1028" applyFont="1" applyFill="1" applyBorder="1" applyAlignment="1">
      <alignment horizontal="center" wrapText="1"/>
    </xf>
    <xf numFmtId="0" fontId="6" fillId="59" borderId="0" xfId="0" applyFont="1" applyFill="1" applyAlignment="1">
      <alignment wrapText="1"/>
    </xf>
    <xf numFmtId="2" fontId="6" fillId="59" borderId="0" xfId="0" applyNumberFormat="1" applyFont="1" applyFill="1" applyAlignment="1">
      <alignment wrapText="1"/>
    </xf>
    <xf numFmtId="2" fontId="6" fillId="59" borderId="1" xfId="0" applyNumberFormat="1" applyFont="1" applyFill="1" applyBorder="1" applyAlignment="1">
      <alignment wrapText="1"/>
    </xf>
    <xf numFmtId="2" fontId="6" fillId="0" borderId="1" xfId="0" applyNumberFormat="1" applyFont="1" applyBorder="1" applyAlignment="1">
      <alignment wrapText="1"/>
    </xf>
    <xf numFmtId="0" fontId="2" fillId="4" borderId="1" xfId="0" applyFont="1" applyFill="1" applyBorder="1" applyAlignment="1">
      <alignment wrapText="1"/>
    </xf>
    <xf numFmtId="2" fontId="2" fillId="4" borderId="1" xfId="0" applyNumberFormat="1" applyFont="1" applyFill="1" applyBorder="1" applyAlignment="1">
      <alignment wrapText="1"/>
    </xf>
    <xf numFmtId="169" fontId="8" fillId="0" borderId="0" xfId="2" applyFont="1" applyFill="1" applyBorder="1"/>
    <xf numFmtId="0" fontId="3" fillId="4" borderId="0" xfId="0" applyFont="1" applyFill="1"/>
    <xf numFmtId="10" fontId="3" fillId="4" borderId="0" xfId="1" applyNumberFormat="1" applyFont="1" applyFill="1"/>
    <xf numFmtId="169" fontId="2" fillId="4" borderId="0" xfId="0" applyNumberFormat="1" applyFont="1" applyFill="1"/>
    <xf numFmtId="0" fontId="159" fillId="4" borderId="0" xfId="0" applyFont="1" applyFill="1" applyAlignment="1">
      <alignment horizontal="left" wrapText="1" indent="2"/>
    </xf>
    <xf numFmtId="0" fontId="2" fillId="4" borderId="0" xfId="0" applyFont="1" applyFill="1" applyAlignment="1">
      <alignment horizontal="left" indent="2"/>
    </xf>
    <xf numFmtId="171" fontId="2" fillId="4" borderId="0" xfId="2" applyNumberFormat="1" applyFont="1" applyFill="1" applyBorder="1"/>
    <xf numFmtId="0" fontId="2" fillId="4" borderId="6" xfId="0" applyFont="1" applyFill="1" applyBorder="1" applyAlignment="1">
      <alignment horizontal="left" wrapText="1" indent="2"/>
    </xf>
    <xf numFmtId="169" fontId="3" fillId="4" borderId="6" xfId="2" applyFont="1" applyFill="1" applyBorder="1"/>
    <xf numFmtId="169" fontId="2" fillId="4" borderId="6" xfId="2" applyFont="1" applyFill="1" applyBorder="1"/>
    <xf numFmtId="0" fontId="6" fillId="4" borderId="0" xfId="0" applyFont="1" applyFill="1" applyAlignment="1">
      <alignment horizontal="left" indent="2"/>
    </xf>
    <xf numFmtId="169" fontId="3" fillId="0" borderId="11" xfId="0" applyNumberFormat="1" applyFont="1" applyBorder="1" applyAlignment="1">
      <alignment horizontal="left"/>
    </xf>
    <xf numFmtId="2" fontId="3" fillId="0" borderId="11" xfId="0" applyNumberFormat="1" applyFont="1" applyBorder="1" applyAlignment="1">
      <alignment horizontal="center"/>
    </xf>
    <xf numFmtId="9" fontId="3" fillId="0" borderId="1" xfId="1" applyFont="1" applyBorder="1" applyAlignment="1">
      <alignment horizontal="center"/>
    </xf>
    <xf numFmtId="2" fontId="124" fillId="0" borderId="28" xfId="0" applyNumberFormat="1" applyFont="1" applyBorder="1" applyAlignment="1">
      <alignment horizontal="center"/>
    </xf>
    <xf numFmtId="9" fontId="6" fillId="0" borderId="0" xfId="1" applyFont="1" applyFill="1" applyBorder="1"/>
    <xf numFmtId="171" fontId="6" fillId="4" borderId="0" xfId="2" applyNumberFormat="1" applyFont="1" applyFill="1" applyBorder="1"/>
    <xf numFmtId="1" fontId="6" fillId="0" borderId="1" xfId="0" applyNumberFormat="1" applyFont="1" applyBorder="1" applyAlignment="1">
      <alignment wrapText="1"/>
    </xf>
    <xf numFmtId="169" fontId="2" fillId="0" borderId="0" xfId="0" applyNumberFormat="1" applyFont="1"/>
    <xf numFmtId="0" fontId="2" fillId="4" borderId="0" xfId="0" applyFont="1" applyFill="1"/>
    <xf numFmtId="1" fontId="4" fillId="2" borderId="2" xfId="0" applyNumberFormat="1" applyFont="1" applyFill="1" applyBorder="1" applyAlignment="1">
      <alignment horizontal="center" vertical="center" wrapText="1"/>
    </xf>
    <xf numFmtId="1" fontId="4" fillId="2" borderId="45" xfId="0" applyNumberFormat="1" applyFont="1" applyFill="1" applyBorder="1" applyAlignment="1">
      <alignment vertical="center" wrapText="1"/>
    </xf>
    <xf numFmtId="2" fontId="2" fillId="0" borderId="1" xfId="0" applyNumberFormat="1" applyFont="1" applyBorder="1"/>
    <xf numFmtId="0" fontId="8" fillId="0" borderId="5" xfId="0" applyFont="1" applyBorder="1"/>
    <xf numFmtId="169" fontId="0" fillId="0" borderId="0" xfId="0" applyNumberFormat="1" applyAlignment="1">
      <alignment horizontal="right"/>
    </xf>
    <xf numFmtId="0" fontId="6" fillId="4" borderId="5" xfId="0" applyFont="1" applyFill="1" applyBorder="1" applyAlignment="1">
      <alignment wrapText="1"/>
    </xf>
    <xf numFmtId="169" fontId="3" fillId="4" borderId="5" xfId="2" applyFont="1" applyFill="1" applyBorder="1"/>
    <xf numFmtId="169" fontId="8" fillId="4" borderId="5" xfId="2" applyFont="1" applyFill="1" applyBorder="1"/>
    <xf numFmtId="169" fontId="3" fillId="4" borderId="1" xfId="2" applyFont="1" applyFill="1" applyBorder="1"/>
    <xf numFmtId="0" fontId="2" fillId="4" borderId="1" xfId="0" applyFont="1" applyFill="1" applyBorder="1"/>
    <xf numFmtId="2" fontId="2" fillId="4" borderId="1" xfId="0" applyNumberFormat="1" applyFont="1" applyFill="1" applyBorder="1"/>
    <xf numFmtId="2" fontId="124" fillId="0" borderId="6" xfId="0" applyNumberFormat="1" applyFont="1" applyBorder="1" applyAlignment="1">
      <alignment horizontal="center"/>
    </xf>
    <xf numFmtId="15" fontId="4" fillId="2" borderId="1" xfId="0" applyNumberFormat="1" applyFont="1" applyFill="1" applyBorder="1" applyAlignment="1">
      <alignment horizontal="right" vertical="center" wrapText="1"/>
    </xf>
    <xf numFmtId="15" fontId="134" fillId="2" borderId="0" xfId="0" applyNumberFormat="1" applyFont="1" applyFill="1" applyAlignment="1">
      <alignment horizontal="right" vertical="center" wrapText="1"/>
    </xf>
    <xf numFmtId="9" fontId="3" fillId="0" borderId="0" xfId="1" applyFont="1" applyFill="1" applyBorder="1"/>
    <xf numFmtId="10" fontId="3" fillId="0" borderId="0" xfId="1" applyNumberFormat="1" applyFont="1" applyFill="1" applyBorder="1"/>
    <xf numFmtId="10" fontId="0" fillId="0" borderId="0" xfId="1" applyNumberFormat="1" applyFont="1"/>
    <xf numFmtId="2" fontId="138" fillId="0" borderId="11" xfId="0" applyNumberFormat="1" applyFont="1" applyBorder="1" applyAlignment="1">
      <alignment horizontal="center"/>
    </xf>
    <xf numFmtId="9" fontId="2" fillId="0" borderId="11" xfId="1" applyFont="1" applyBorder="1" applyAlignment="1">
      <alignment horizontal="center"/>
    </xf>
    <xf numFmtId="9" fontId="6" fillId="4" borderId="0" xfId="1" applyFont="1" applyFill="1" applyBorder="1"/>
    <xf numFmtId="171" fontId="3" fillId="0" borderId="0" xfId="2" applyNumberFormat="1" applyFont="1" applyFill="1" applyBorder="1"/>
    <xf numFmtId="0" fontId="3" fillId="0" borderId="0" xfId="1" applyNumberFormat="1" applyFont="1" applyFill="1" applyBorder="1"/>
    <xf numFmtId="1" fontId="6" fillId="4" borderId="0" xfId="1" applyNumberFormat="1" applyFont="1" applyFill="1" applyBorder="1"/>
    <xf numFmtId="1" fontId="3" fillId="0" borderId="0" xfId="1" applyNumberFormat="1" applyFont="1" applyFill="1" applyBorder="1"/>
    <xf numFmtId="43" fontId="3" fillId="0" borderId="0" xfId="0" applyNumberFormat="1" applyFont="1"/>
    <xf numFmtId="169" fontId="4" fillId="0" borderId="1" xfId="2" applyFont="1" applyFill="1" applyBorder="1" applyAlignment="1">
      <alignment horizontal="left" vertical="center" wrapText="1"/>
    </xf>
    <xf numFmtId="0" fontId="3" fillId="0" borderId="13" xfId="1576" applyFont="1" applyBorder="1" applyAlignment="1">
      <alignment vertical="center"/>
    </xf>
    <xf numFmtId="2" fontId="3" fillId="0" borderId="28" xfId="1576" applyNumberFormat="1" applyFont="1" applyBorder="1" applyAlignment="1">
      <alignment horizontal="right" vertical="center"/>
    </xf>
    <xf numFmtId="0" fontId="3" fillId="0" borderId="48" xfId="1576" applyFont="1" applyBorder="1" applyAlignment="1">
      <alignment vertical="center"/>
    </xf>
    <xf numFmtId="2" fontId="3" fillId="0" borderId="48" xfId="1576" applyNumberFormat="1" applyFont="1" applyBorder="1" applyAlignment="1">
      <alignment horizontal="right" vertical="center"/>
    </xf>
    <xf numFmtId="0" fontId="2" fillId="4" borderId="1" xfId="1576" applyFont="1" applyFill="1" applyBorder="1" applyAlignment="1">
      <alignment vertical="center"/>
    </xf>
    <xf numFmtId="10" fontId="2" fillId="4" borderId="11" xfId="1" applyNumberFormat="1" applyFont="1" applyFill="1" applyBorder="1" applyAlignment="1">
      <alignment horizontal="right" vertical="center"/>
    </xf>
    <xf numFmtId="2" fontId="2" fillId="4" borderId="11" xfId="1" applyNumberFormat="1" applyFont="1" applyFill="1" applyBorder="1" applyAlignment="1">
      <alignment horizontal="right" vertical="center"/>
    </xf>
    <xf numFmtId="2" fontId="2" fillId="4" borderId="1" xfId="1" applyNumberFormat="1" applyFont="1" applyFill="1" applyBorder="1" applyAlignment="1">
      <alignment horizontal="right" vertical="center"/>
    </xf>
    <xf numFmtId="2" fontId="3" fillId="0" borderId="13" xfId="1576" applyNumberFormat="1" applyFont="1" applyBorder="1" applyAlignment="1">
      <alignment horizontal="right" vertical="center"/>
    </xf>
    <xf numFmtId="0" fontId="3" fillId="0" borderId="13" xfId="1576" applyFont="1" applyBorder="1" applyAlignment="1">
      <alignment vertical="center" wrapText="1"/>
    </xf>
    <xf numFmtId="2" fontId="3" fillId="0" borderId="1" xfId="0" applyNumberFormat="1" applyFont="1" applyBorder="1"/>
    <xf numFmtId="0" fontId="4" fillId="58" borderId="0" xfId="0" applyFont="1" applyFill="1" applyAlignment="1">
      <alignment horizontal="left" vertical="center" wrapText="1"/>
    </xf>
    <xf numFmtId="0" fontId="2" fillId="4" borderId="1" xfId="1576" applyFont="1" applyFill="1" applyBorder="1" applyAlignment="1">
      <alignment vertical="center" wrapText="1"/>
    </xf>
    <xf numFmtId="2" fontId="3" fillId="0" borderId="0" xfId="1" applyNumberFormat="1" applyFont="1" applyFill="1" applyBorder="1"/>
    <xf numFmtId="0" fontId="6" fillId="62" borderId="0" xfId="0" applyFont="1" applyFill="1" applyAlignment="1">
      <alignment wrapText="1"/>
    </xf>
    <xf numFmtId="169" fontId="3" fillId="62" borderId="0" xfId="2" applyFont="1" applyFill="1" applyBorder="1"/>
    <xf numFmtId="169" fontId="2" fillId="62" borderId="0" xfId="2" applyFont="1" applyFill="1" applyBorder="1"/>
    <xf numFmtId="0" fontId="6" fillId="62" borderId="0" xfId="0" applyFont="1" applyFill="1" applyAlignment="1">
      <alignment vertical="center" wrapText="1"/>
    </xf>
    <xf numFmtId="169" fontId="3" fillId="62" borderId="0" xfId="2" applyFont="1" applyFill="1" applyBorder="1" applyAlignment="1">
      <alignment vertical="center"/>
    </xf>
    <xf numFmtId="169" fontId="2" fillId="62" borderId="0" xfId="2" applyFont="1" applyFill="1" applyBorder="1" applyAlignment="1">
      <alignment horizontal="center" vertical="center"/>
    </xf>
    <xf numFmtId="169" fontId="3" fillId="59" borderId="0" xfId="2" applyFont="1" applyFill="1" applyBorder="1"/>
    <xf numFmtId="169" fontId="2" fillId="59" borderId="1" xfId="2" applyFont="1" applyFill="1" applyBorder="1"/>
    <xf numFmtId="10" fontId="2" fillId="4" borderId="0" xfId="1" applyNumberFormat="1" applyFont="1" applyFill="1"/>
    <xf numFmtId="0" fontId="5" fillId="63" borderId="1" xfId="0" applyFont="1" applyFill="1" applyBorder="1" applyAlignment="1">
      <alignment horizontal="left" vertical="center" wrapText="1"/>
    </xf>
    <xf numFmtId="169" fontId="5" fillId="63" borderId="1" xfId="2" applyFont="1" applyFill="1" applyBorder="1" applyAlignment="1">
      <alignment horizontal="left" vertical="center" wrapText="1"/>
    </xf>
    <xf numFmtId="0" fontId="5" fillId="63" borderId="11" xfId="0" applyFont="1" applyFill="1" applyBorder="1" applyAlignment="1">
      <alignment horizontal="center" vertical="center" wrapText="1"/>
    </xf>
    <xf numFmtId="0" fontId="132" fillId="63" borderId="11" xfId="0" applyFont="1" applyFill="1" applyBorder="1" applyAlignment="1">
      <alignment horizontal="center" vertical="center" wrapText="1"/>
    </xf>
    <xf numFmtId="0" fontId="8" fillId="64" borderId="1" xfId="0" applyFont="1" applyFill="1" applyBorder="1" applyAlignment="1">
      <alignment horizontal="center"/>
    </xf>
    <xf numFmtId="0" fontId="6" fillId="64" borderId="11" xfId="0" applyFont="1" applyFill="1" applyBorder="1" applyAlignment="1">
      <alignment horizontal="left"/>
    </xf>
    <xf numFmtId="169" fontId="6" fillId="64" borderId="1" xfId="0" applyNumberFormat="1" applyFont="1" applyFill="1" applyBorder="1"/>
    <xf numFmtId="0" fontId="122" fillId="64" borderId="11" xfId="0" applyFont="1" applyFill="1" applyBorder="1" applyAlignment="1">
      <alignment horizontal="left"/>
    </xf>
    <xf numFmtId="169" fontId="6" fillId="64" borderId="1" xfId="2" applyFont="1" applyFill="1" applyBorder="1"/>
    <xf numFmtId="0" fontId="7" fillId="64" borderId="1" xfId="0" applyFont="1" applyFill="1" applyBorder="1" applyAlignment="1">
      <alignment horizontal="center"/>
    </xf>
    <xf numFmtId="0" fontId="2" fillId="64" borderId="11" xfId="0" applyFont="1" applyFill="1" applyBorder="1" applyAlignment="1">
      <alignment horizontal="right" indent="3"/>
    </xf>
    <xf numFmtId="0" fontId="7" fillId="64" borderId="11" xfId="0" applyFont="1" applyFill="1" applyBorder="1" applyAlignment="1">
      <alignment horizontal="center"/>
    </xf>
    <xf numFmtId="169" fontId="2" fillId="64" borderId="1" xfId="0" applyNumberFormat="1" applyFont="1" applyFill="1" applyBorder="1"/>
    <xf numFmtId="169" fontId="6" fillId="64" borderId="11" xfId="0" applyNumberFormat="1" applyFont="1" applyFill="1" applyBorder="1" applyAlignment="1">
      <alignment horizontal="left"/>
    </xf>
    <xf numFmtId="0" fontId="5" fillId="63" borderId="11" xfId="0" applyFont="1" applyFill="1" applyBorder="1" applyAlignment="1">
      <alignment horizontal="center" vertical="center"/>
    </xf>
    <xf numFmtId="2" fontId="4" fillId="63" borderId="5" xfId="3" applyNumberFormat="1" applyFont="1" applyFill="1" applyBorder="1" applyAlignment="1">
      <alignment horizontal="center" vertical="center" wrapText="1"/>
    </xf>
    <xf numFmtId="0" fontId="132" fillId="63" borderId="10" xfId="0" applyFont="1" applyFill="1" applyBorder="1" applyAlignment="1">
      <alignment horizontal="center"/>
    </xf>
    <xf numFmtId="0" fontId="132" fillId="63" borderId="6" xfId="0" applyFont="1" applyFill="1" applyBorder="1" applyAlignment="1">
      <alignment horizontal="center"/>
    </xf>
    <xf numFmtId="0" fontId="4" fillId="63" borderId="1" xfId="0" applyFont="1" applyFill="1" applyBorder="1" applyAlignment="1">
      <alignment horizontal="left" vertical="center" wrapText="1"/>
    </xf>
    <xf numFmtId="15" fontId="144" fillId="63" borderId="1" xfId="0" applyNumberFormat="1" applyFont="1" applyFill="1" applyBorder="1" applyAlignment="1">
      <alignment horizontal="right" vertical="center"/>
    </xf>
    <xf numFmtId="169" fontId="4" fillId="63" borderId="1" xfId="2" applyFont="1" applyFill="1" applyBorder="1" applyAlignment="1">
      <alignment vertical="center"/>
    </xf>
    <xf numFmtId="169" fontId="4" fillId="63" borderId="1" xfId="2" applyFont="1" applyFill="1" applyBorder="1" applyAlignment="1">
      <alignment horizontal="left" vertical="center" wrapText="1"/>
    </xf>
    <xf numFmtId="169" fontId="4" fillId="63" borderId="1" xfId="0" applyNumberFormat="1" applyFont="1" applyFill="1" applyBorder="1" applyAlignment="1">
      <alignment horizontal="left" vertical="center" wrapText="1"/>
    </xf>
    <xf numFmtId="0" fontId="134" fillId="63" borderId="1" xfId="0" applyFont="1" applyFill="1" applyBorder="1" applyAlignment="1">
      <alignment horizontal="left" vertical="center" wrapText="1"/>
    </xf>
    <xf numFmtId="15" fontId="134" fillId="63" borderId="0" xfId="0" applyNumberFormat="1" applyFont="1" applyFill="1" applyAlignment="1">
      <alignment horizontal="right" vertical="center"/>
    </xf>
    <xf numFmtId="0" fontId="142" fillId="63" borderId="1" xfId="0" applyFont="1" applyFill="1" applyBorder="1" applyAlignment="1">
      <alignment horizontal="right" vertical="center"/>
    </xf>
    <xf numFmtId="0" fontId="136" fillId="64" borderId="1" xfId="0" applyFont="1" applyFill="1" applyBorder="1" applyAlignment="1">
      <alignment horizontal="left" indent="2"/>
    </xf>
    <xf numFmtId="169" fontId="136" fillId="64" borderId="1" xfId="0" applyNumberFormat="1" applyFont="1" applyFill="1" applyBorder="1" applyAlignment="1">
      <alignment horizontal="left" wrapText="1" indent="2"/>
    </xf>
    <xf numFmtId="169" fontId="136" fillId="64" borderId="1" xfId="0" applyNumberFormat="1" applyFont="1" applyFill="1" applyBorder="1" applyAlignment="1">
      <alignment horizontal="left" indent="2"/>
    </xf>
    <xf numFmtId="15" fontId="4" fillId="63" borderId="1" xfId="0" applyNumberFormat="1" applyFont="1" applyFill="1" applyBorder="1" applyAlignment="1">
      <alignment horizontal="right" vertical="center"/>
    </xf>
    <xf numFmtId="15" fontId="4" fillId="63" borderId="1" xfId="0" applyNumberFormat="1" applyFont="1" applyFill="1" applyBorder="1" applyAlignment="1">
      <alignment horizontal="right" vertical="center" wrapText="1"/>
    </xf>
    <xf numFmtId="0" fontId="6" fillId="64" borderId="5" xfId="0" applyFont="1" applyFill="1" applyBorder="1" applyAlignment="1">
      <alignment wrapText="1"/>
    </xf>
    <xf numFmtId="169" fontId="3" fillId="64" borderId="5" xfId="2" applyFont="1" applyFill="1" applyBorder="1"/>
    <xf numFmtId="169" fontId="8" fillId="64" borderId="5" xfId="2" applyFont="1" applyFill="1" applyBorder="1"/>
    <xf numFmtId="169" fontId="3" fillId="64" borderId="1" xfId="2" applyFont="1" applyFill="1" applyBorder="1"/>
    <xf numFmtId="0" fontId="3" fillId="64" borderId="0" xfId="0" applyFont="1" applyFill="1"/>
    <xf numFmtId="2" fontId="2" fillId="64" borderId="1" xfId="0" applyNumberFormat="1" applyFont="1" applyFill="1" applyBorder="1"/>
    <xf numFmtId="0" fontId="6" fillId="64" borderId="0" xfId="0" applyFont="1" applyFill="1" applyAlignment="1">
      <alignment wrapText="1"/>
    </xf>
    <xf numFmtId="169" fontId="3" fillId="64" borderId="0" xfId="2" applyFont="1" applyFill="1" applyBorder="1"/>
    <xf numFmtId="169" fontId="2" fillId="64" borderId="0" xfId="2" applyFont="1" applyFill="1" applyBorder="1"/>
    <xf numFmtId="0" fontId="6" fillId="64" borderId="0" xfId="0" applyFont="1" applyFill="1" applyAlignment="1">
      <alignment vertical="center" wrapText="1"/>
    </xf>
    <xf numFmtId="169" fontId="3" fillId="64" borderId="0" xfId="2" applyFont="1" applyFill="1" applyBorder="1" applyAlignment="1">
      <alignment vertical="center"/>
    </xf>
    <xf numFmtId="169" fontId="2" fillId="64" borderId="0" xfId="2" applyFont="1" applyFill="1" applyBorder="1" applyAlignment="1">
      <alignment horizontal="center" vertical="center"/>
    </xf>
    <xf numFmtId="169" fontId="6" fillId="64" borderId="0" xfId="2" applyFont="1" applyFill="1" applyBorder="1"/>
    <xf numFmtId="171" fontId="6" fillId="64" borderId="0" xfId="2" applyNumberFormat="1" applyFont="1" applyFill="1" applyBorder="1"/>
    <xf numFmtId="9" fontId="6" fillId="64" borderId="0" xfId="1" applyFont="1" applyFill="1" applyBorder="1"/>
    <xf numFmtId="1" fontId="6" fillId="64" borderId="0" xfId="1" applyNumberFormat="1" applyFont="1" applyFill="1" applyBorder="1"/>
    <xf numFmtId="0" fontId="6" fillId="64" borderId="6" xfId="0" applyFont="1" applyFill="1" applyBorder="1" applyAlignment="1">
      <alignment wrapText="1"/>
    </xf>
    <xf numFmtId="169" fontId="6" fillId="64" borderId="6" xfId="2" applyFont="1" applyFill="1" applyBorder="1"/>
    <xf numFmtId="0" fontId="6" fillId="64" borderId="1" xfId="0" applyFont="1" applyFill="1" applyBorder="1" applyAlignment="1">
      <alignment wrapText="1"/>
    </xf>
    <xf numFmtId="169" fontId="2" fillId="64" borderId="1" xfId="2" applyFont="1" applyFill="1" applyBorder="1"/>
    <xf numFmtId="0" fontId="3" fillId="64" borderId="1" xfId="0" applyFont="1" applyFill="1" applyBorder="1"/>
    <xf numFmtId="2" fontId="6" fillId="64" borderId="5" xfId="0" applyNumberFormat="1" applyFont="1" applyFill="1" applyBorder="1" applyAlignment="1">
      <alignment wrapText="1"/>
    </xf>
    <xf numFmtId="2" fontId="6" fillId="64" borderId="1" xfId="0" applyNumberFormat="1" applyFont="1" applyFill="1" applyBorder="1" applyAlignment="1">
      <alignment wrapText="1"/>
    </xf>
    <xf numFmtId="2" fontId="6" fillId="64" borderId="0" xfId="0" applyNumberFormat="1" applyFont="1" applyFill="1" applyAlignment="1">
      <alignment wrapText="1"/>
    </xf>
    <xf numFmtId="0" fontId="2" fillId="64" borderId="1" xfId="0" applyFont="1" applyFill="1" applyBorder="1" applyAlignment="1">
      <alignment wrapText="1"/>
    </xf>
    <xf numFmtId="2" fontId="2" fillId="64" borderId="1" xfId="0" applyNumberFormat="1" applyFont="1" applyFill="1" applyBorder="1" applyAlignment="1">
      <alignment wrapText="1"/>
    </xf>
    <xf numFmtId="0" fontId="159" fillId="64" borderId="0" xfId="0" applyFont="1" applyFill="1" applyAlignment="1">
      <alignment horizontal="left" wrapText="1" indent="2"/>
    </xf>
    <xf numFmtId="0" fontId="2" fillId="64" borderId="0" xfId="0" applyFont="1" applyFill="1" applyAlignment="1">
      <alignment horizontal="left" indent="2"/>
    </xf>
    <xf numFmtId="171" fontId="2" fillId="64" borderId="0" xfId="2" applyNumberFormat="1" applyFont="1" applyFill="1" applyBorder="1"/>
    <xf numFmtId="0" fontId="2" fillId="64" borderId="6" xfId="0" applyFont="1" applyFill="1" applyBorder="1" applyAlignment="1">
      <alignment horizontal="left" wrapText="1" indent="2"/>
    </xf>
    <xf numFmtId="169" fontId="3" fillId="64" borderId="6" xfId="2" applyFont="1" applyFill="1" applyBorder="1"/>
    <xf numFmtId="169" fontId="2" fillId="64" borderId="6" xfId="2" applyFont="1" applyFill="1" applyBorder="1"/>
    <xf numFmtId="0" fontId="6" fillId="64" borderId="0" xfId="0" applyFont="1" applyFill="1" applyAlignment="1">
      <alignment horizontal="left" indent="2"/>
    </xf>
    <xf numFmtId="0" fontId="2" fillId="64" borderId="0" xfId="0" applyFont="1" applyFill="1"/>
    <xf numFmtId="10" fontId="3" fillId="64" borderId="0" xfId="1" applyNumberFormat="1" applyFont="1" applyFill="1"/>
    <xf numFmtId="10" fontId="2" fillId="64" borderId="0" xfId="1" applyNumberFormat="1" applyFont="1" applyFill="1"/>
    <xf numFmtId="169" fontId="2" fillId="64" borderId="0" xfId="0" applyNumberFormat="1" applyFont="1" applyFill="1"/>
    <xf numFmtId="0" fontId="147" fillId="64" borderId="14" xfId="1028" applyFont="1" applyFill="1" applyBorder="1"/>
    <xf numFmtId="0" fontId="147" fillId="64" borderId="0" xfId="1028" applyFont="1" applyFill="1"/>
    <xf numFmtId="0" fontId="147" fillId="64" borderId="28" xfId="1028" applyFont="1" applyFill="1" applyBorder="1"/>
    <xf numFmtId="2" fontId="131" fillId="64" borderId="1" xfId="1028" applyNumberFormat="1" applyFont="1" applyFill="1" applyBorder="1"/>
    <xf numFmtId="1" fontId="4" fillId="63" borderId="0" xfId="0" applyNumberFormat="1" applyFont="1" applyFill="1" applyAlignment="1">
      <alignment horizontal="center"/>
    </xf>
    <xf numFmtId="1" fontId="123" fillId="63" borderId="0" xfId="0" applyNumberFormat="1" applyFont="1" applyFill="1"/>
    <xf numFmtId="1" fontId="4" fillId="63" borderId="5" xfId="0" applyNumberFormat="1" applyFont="1" applyFill="1" applyBorder="1" applyAlignment="1">
      <alignment wrapText="1"/>
    </xf>
    <xf numFmtId="1" fontId="4" fillId="63" borderId="2" xfId="0" applyNumberFormat="1" applyFont="1" applyFill="1" applyBorder="1" applyAlignment="1">
      <alignment horizontal="center" vertical="center" wrapText="1"/>
    </xf>
    <xf numFmtId="1" fontId="4" fillId="63" borderId="45" xfId="0" applyNumberFormat="1" applyFont="1" applyFill="1" applyBorder="1" applyAlignment="1">
      <alignment wrapText="1"/>
    </xf>
    <xf numFmtId="1" fontId="4" fillId="63" borderId="45" xfId="0" applyNumberFormat="1" applyFont="1" applyFill="1" applyBorder="1" applyAlignment="1">
      <alignment vertical="center" wrapText="1"/>
    </xf>
    <xf numFmtId="0" fontId="6" fillId="64" borderId="1" xfId="0" applyFont="1" applyFill="1" applyBorder="1" applyAlignment="1">
      <alignment horizontal="left" indent="2"/>
    </xf>
    <xf numFmtId="169" fontId="6" fillId="64" borderId="7" xfId="2" applyFont="1" applyFill="1" applyBorder="1"/>
    <xf numFmtId="0" fontId="6" fillId="64" borderId="7" xfId="0" applyFont="1" applyFill="1" applyBorder="1" applyAlignment="1">
      <alignment horizontal="left" indent="2"/>
    </xf>
    <xf numFmtId="180" fontId="132" fillId="63" borderId="55" xfId="2181" applyNumberFormat="1" applyFont="1" applyFill="1" applyBorder="1" applyAlignment="1">
      <alignment horizontal="center"/>
    </xf>
    <xf numFmtId="180" fontId="132" fillId="63" borderId="56" xfId="2181" applyNumberFormat="1" applyFont="1" applyFill="1" applyBorder="1"/>
    <xf numFmtId="180" fontId="132" fillId="63" borderId="56" xfId="2181" applyNumberFormat="1" applyFont="1" applyFill="1" applyBorder="1" applyAlignment="1">
      <alignment horizontal="center"/>
    </xf>
    <xf numFmtId="180" fontId="132" fillId="63" borderId="44" xfId="2181" applyNumberFormat="1" applyFont="1" applyFill="1" applyBorder="1" applyAlignment="1">
      <alignment horizontal="center"/>
    </xf>
    <xf numFmtId="1" fontId="132" fillId="63" borderId="11" xfId="2181" applyNumberFormat="1" applyFont="1" applyFill="1" applyBorder="1" applyAlignment="1">
      <alignment horizontal="center"/>
    </xf>
    <xf numFmtId="180" fontId="132" fillId="63" borderId="57" xfId="2181" applyNumberFormat="1" applyFont="1" applyFill="1" applyBorder="1" applyAlignment="1">
      <alignment horizontal="center"/>
    </xf>
    <xf numFmtId="180" fontId="132" fillId="63" borderId="28" xfId="2181" applyNumberFormat="1" applyFont="1" applyFill="1" applyBorder="1"/>
    <xf numFmtId="180" fontId="132" fillId="63" borderId="28" xfId="2181" applyNumberFormat="1" applyFont="1" applyFill="1" applyBorder="1" applyAlignment="1">
      <alignment horizontal="center"/>
    </xf>
    <xf numFmtId="180" fontId="132" fillId="63" borderId="13" xfId="2181" applyNumberFormat="1" applyFont="1" applyFill="1" applyBorder="1" applyAlignment="1">
      <alignment horizontal="center"/>
    </xf>
    <xf numFmtId="180" fontId="132" fillId="63" borderId="58" xfId="2181" applyNumberFormat="1" applyFont="1" applyFill="1" applyBorder="1" applyAlignment="1">
      <alignment horizontal="center"/>
    </xf>
    <xf numFmtId="180" fontId="132" fillId="63" borderId="59" xfId="2181" applyNumberFormat="1" applyFont="1" applyFill="1" applyBorder="1"/>
    <xf numFmtId="180" fontId="132" fillId="63" borderId="59" xfId="2181" applyNumberFormat="1" applyFont="1" applyFill="1" applyBorder="1" applyAlignment="1">
      <alignment horizontal="center"/>
    </xf>
    <xf numFmtId="180" fontId="132" fillId="63" borderId="45" xfId="2181" applyNumberFormat="1" applyFont="1" applyFill="1" applyBorder="1" applyAlignment="1">
      <alignment horizontal="center"/>
    </xf>
    <xf numFmtId="2" fontId="132" fillId="63" borderId="59" xfId="2181" applyNumberFormat="1" applyFont="1" applyFill="1" applyBorder="1" applyAlignment="1">
      <alignment horizontal="center"/>
    </xf>
    <xf numFmtId="0" fontId="146" fillId="63" borderId="60" xfId="0" applyFont="1" applyFill="1" applyBorder="1" applyAlignment="1">
      <alignment horizontal="center" vertical="center"/>
    </xf>
    <xf numFmtId="180" fontId="132" fillId="63" borderId="4" xfId="2181" applyNumberFormat="1" applyFont="1" applyFill="1" applyBorder="1"/>
    <xf numFmtId="253" fontId="132" fillId="63" borderId="39" xfId="0" applyNumberFormat="1" applyFont="1" applyFill="1" applyBorder="1" applyAlignment="1">
      <alignment horizontal="center"/>
    </xf>
    <xf numFmtId="0" fontId="146" fillId="63" borderId="4" xfId="0" applyFont="1" applyFill="1" applyBorder="1" applyAlignment="1">
      <alignment horizontal="center"/>
    </xf>
    <xf numFmtId="169" fontId="132" fillId="63" borderId="61" xfId="2" applyFont="1" applyFill="1" applyBorder="1" applyAlignment="1">
      <alignment horizontal="center"/>
    </xf>
    <xf numFmtId="169" fontId="132" fillId="63" borderId="4" xfId="2" applyFont="1" applyFill="1" applyBorder="1" applyAlignment="1">
      <alignment horizontal="center"/>
    </xf>
    <xf numFmtId="0" fontId="4" fillId="63" borderId="0" xfId="0" applyFont="1" applyFill="1" applyAlignment="1">
      <alignment horizontal="left" vertical="center" wrapText="1"/>
    </xf>
    <xf numFmtId="0" fontId="2" fillId="64" borderId="1" xfId="1576" applyFont="1" applyFill="1" applyBorder="1" applyAlignment="1">
      <alignment vertical="center"/>
    </xf>
    <xf numFmtId="10" fontId="2" fillId="64" borderId="11" xfId="1" applyNumberFormat="1" applyFont="1" applyFill="1" applyBorder="1" applyAlignment="1">
      <alignment horizontal="right" vertical="center"/>
    </xf>
    <xf numFmtId="2" fontId="2" fillId="64" borderId="11" xfId="1" applyNumberFormat="1" applyFont="1" applyFill="1" applyBorder="1" applyAlignment="1">
      <alignment horizontal="right" vertical="center"/>
    </xf>
    <xf numFmtId="2" fontId="2" fillId="64" borderId="1" xfId="1" applyNumberFormat="1" applyFont="1" applyFill="1" applyBorder="1" applyAlignment="1">
      <alignment horizontal="right" vertical="center"/>
    </xf>
    <xf numFmtId="0" fontId="2" fillId="64" borderId="1" xfId="1576" applyFont="1" applyFill="1" applyBorder="1" applyAlignment="1">
      <alignment vertical="center" wrapText="1"/>
    </xf>
    <xf numFmtId="169" fontId="3" fillId="0" borderId="5" xfId="2" applyFont="1" applyFill="1" applyBorder="1"/>
    <xf numFmtId="15" fontId="134" fillId="63" borderId="1" xfId="0" applyNumberFormat="1" applyFont="1" applyFill="1" applyBorder="1" applyAlignment="1">
      <alignment horizontal="right" vertical="center" wrapText="1"/>
    </xf>
    <xf numFmtId="15" fontId="134" fillId="63" borderId="1" xfId="0" applyNumberFormat="1" applyFont="1" applyFill="1" applyBorder="1" applyAlignment="1">
      <alignment horizontal="right" vertical="center"/>
    </xf>
    <xf numFmtId="0" fontId="132" fillId="65" borderId="10" xfId="0" applyFont="1" applyFill="1" applyBorder="1" applyAlignment="1">
      <alignment horizontal="center"/>
    </xf>
    <xf numFmtId="0" fontId="132" fillId="65" borderId="6" xfId="0" applyFont="1" applyFill="1" applyBorder="1" applyAlignment="1">
      <alignment horizontal="center"/>
    </xf>
    <xf numFmtId="0" fontId="4" fillId="65" borderId="1" xfId="0" applyFont="1" applyFill="1" applyBorder="1" applyAlignment="1">
      <alignment horizontal="left" vertical="center" wrapText="1"/>
    </xf>
    <xf numFmtId="15" fontId="144" fillId="65" borderId="1" xfId="0" applyNumberFormat="1" applyFont="1" applyFill="1" applyBorder="1" applyAlignment="1">
      <alignment horizontal="right" vertical="center"/>
    </xf>
    <xf numFmtId="169" fontId="4" fillId="65" borderId="1" xfId="2" applyFont="1" applyFill="1" applyBorder="1" applyAlignment="1">
      <alignment vertical="center"/>
    </xf>
    <xf numFmtId="169" fontId="4" fillId="65" borderId="1" xfId="2" applyFont="1" applyFill="1" applyBorder="1" applyAlignment="1">
      <alignment horizontal="left" vertical="center" wrapText="1"/>
    </xf>
    <xf numFmtId="169" fontId="4" fillId="65" borderId="1" xfId="0" applyNumberFormat="1" applyFont="1" applyFill="1" applyBorder="1" applyAlignment="1">
      <alignment horizontal="left" vertical="center" wrapText="1"/>
    </xf>
    <xf numFmtId="0" fontId="134" fillId="65" borderId="1" xfId="0" applyFont="1" applyFill="1" applyBorder="1" applyAlignment="1">
      <alignment horizontal="left" vertical="center" wrapText="1"/>
    </xf>
    <xf numFmtId="15" fontId="134" fillId="65" borderId="0" xfId="0" applyNumberFormat="1" applyFont="1" applyFill="1" applyAlignment="1">
      <alignment horizontal="right" vertical="center"/>
    </xf>
    <xf numFmtId="0" fontId="142" fillId="65" borderId="1" xfId="0" applyFont="1" applyFill="1" applyBorder="1" applyAlignment="1">
      <alignment horizontal="right" vertical="center"/>
    </xf>
    <xf numFmtId="0" fontId="136" fillId="66" borderId="1" xfId="0" applyFont="1" applyFill="1" applyBorder="1" applyAlignment="1">
      <alignment horizontal="left" indent="2"/>
    </xf>
    <xf numFmtId="169" fontId="136" fillId="66" borderId="1" xfId="0" applyNumberFormat="1" applyFont="1" applyFill="1" applyBorder="1" applyAlignment="1">
      <alignment horizontal="left" wrapText="1" indent="2"/>
    </xf>
    <xf numFmtId="169" fontId="136" fillId="66" borderId="1" xfId="0" applyNumberFormat="1" applyFont="1" applyFill="1" applyBorder="1" applyAlignment="1">
      <alignment horizontal="left" indent="2"/>
    </xf>
    <xf numFmtId="169" fontId="3" fillId="0" borderId="14" xfId="2" applyFont="1" applyBorder="1" applyAlignment="1">
      <alignment horizontal="left" wrapText="1" indent="2"/>
    </xf>
    <xf numFmtId="2" fontId="3" fillId="0" borderId="14" xfId="0" applyNumberFormat="1" applyFont="1" applyBorder="1"/>
    <xf numFmtId="169" fontId="4" fillId="65" borderId="10" xfId="2" applyFont="1" applyFill="1" applyBorder="1" applyAlignment="1">
      <alignment horizontal="left" vertical="center" wrapText="1"/>
    </xf>
    <xf numFmtId="169" fontId="4" fillId="0" borderId="0" xfId="2" applyFont="1" applyFill="1" applyBorder="1" applyAlignment="1">
      <alignment horizontal="left" vertical="center" wrapText="1"/>
    </xf>
    <xf numFmtId="0" fontId="4" fillId="65" borderId="0" xfId="0" applyFont="1" applyFill="1" applyAlignment="1">
      <alignment horizontal="left" vertical="center" wrapText="1"/>
    </xf>
    <xf numFmtId="0" fontId="2" fillId="67" borderId="1" xfId="1576" applyFont="1" applyFill="1" applyBorder="1" applyAlignment="1">
      <alignment vertical="center"/>
    </xf>
    <xf numFmtId="10" fontId="2" fillId="67" borderId="11" xfId="1" applyNumberFormat="1" applyFont="1" applyFill="1" applyBorder="1" applyAlignment="1">
      <alignment horizontal="right" vertical="center"/>
    </xf>
    <xf numFmtId="2" fontId="2" fillId="67" borderId="11" xfId="1" applyNumberFormat="1" applyFont="1" applyFill="1" applyBorder="1" applyAlignment="1">
      <alignment horizontal="right" vertical="center"/>
    </xf>
    <xf numFmtId="2" fontId="2" fillId="67" borderId="1" xfId="1" applyNumberFormat="1" applyFont="1" applyFill="1" applyBorder="1" applyAlignment="1">
      <alignment horizontal="right" vertical="center"/>
    </xf>
    <xf numFmtId="0" fontId="2" fillId="67" borderId="1" xfId="1576" applyFont="1" applyFill="1" applyBorder="1" applyAlignment="1">
      <alignment vertical="center" wrapText="1"/>
    </xf>
    <xf numFmtId="0" fontId="45" fillId="0" borderId="0" xfId="1028" applyFont="1"/>
    <xf numFmtId="0" fontId="44" fillId="0" borderId="49" xfId="1028" applyFont="1" applyBorder="1"/>
    <xf numFmtId="0" fontId="44" fillId="0" borderId="42" xfId="1028" applyFont="1" applyBorder="1" applyAlignment="1">
      <alignment horizontal="left"/>
    </xf>
    <xf numFmtId="0" fontId="45" fillId="0" borderId="0" xfId="1028" applyFont="1" applyAlignment="1">
      <alignment horizontal="left"/>
    </xf>
    <xf numFmtId="0" fontId="45" fillId="0" borderId="50" xfId="1028" applyFont="1" applyBorder="1" applyAlignment="1">
      <alignment horizontal="left"/>
    </xf>
    <xf numFmtId="0" fontId="45" fillId="0" borderId="50" xfId="1028" applyFont="1" applyBorder="1" applyAlignment="1">
      <alignment horizontal="right"/>
    </xf>
    <xf numFmtId="0" fontId="162" fillId="0" borderId="10" xfId="1028" applyFont="1" applyBorder="1"/>
    <xf numFmtId="0" fontId="44" fillId="0" borderId="6" xfId="1028" applyFont="1" applyBorder="1" applyAlignment="1">
      <alignment horizontal="left"/>
    </xf>
    <xf numFmtId="0" fontId="45" fillId="0" borderId="11" xfId="1028" applyFont="1" applyBorder="1"/>
    <xf numFmtId="169" fontId="163" fillId="0" borderId="1" xfId="1028" applyNumberFormat="1" applyFont="1" applyBorder="1" applyAlignment="1">
      <alignment horizontal="right"/>
    </xf>
    <xf numFmtId="0" fontId="44" fillId="0" borderId="10" xfId="1028" applyFont="1" applyBorder="1"/>
    <xf numFmtId="0" fontId="45" fillId="0" borderId="6" xfId="1028" applyFont="1" applyBorder="1"/>
    <xf numFmtId="0" fontId="44" fillId="0" borderId="11" xfId="1028" applyFont="1" applyBorder="1" applyAlignment="1">
      <alignment horizontal="center"/>
    </xf>
    <xf numFmtId="0" fontId="44" fillId="0" borderId="1" xfId="1028" applyFont="1" applyBorder="1" applyAlignment="1">
      <alignment horizontal="right"/>
    </xf>
    <xf numFmtId="0" fontId="45" fillId="0" borderId="1" xfId="1028" applyFont="1" applyBorder="1" applyAlignment="1">
      <alignment horizontal="right"/>
    </xf>
    <xf numFmtId="49" fontId="45" fillId="0" borderId="6" xfId="1028" applyNumberFormat="1" applyFont="1" applyBorder="1" applyAlignment="1">
      <alignment horizontal="right"/>
    </xf>
    <xf numFmtId="169" fontId="164" fillId="0" borderId="1" xfId="394" applyFont="1" applyFill="1" applyBorder="1" applyProtection="1">
      <protection locked="0"/>
    </xf>
    <xf numFmtId="0" fontId="45" fillId="0" borderId="6" xfId="1028" applyFont="1" applyBorder="1" applyAlignment="1">
      <alignment horizontal="right"/>
    </xf>
    <xf numFmtId="0" fontId="45" fillId="0" borderId="11" xfId="1028" applyFont="1" applyBorder="1" applyAlignment="1">
      <alignment horizontal="right"/>
    </xf>
    <xf numFmtId="169" fontId="45" fillId="0" borderId="11" xfId="394" applyFont="1" applyBorder="1" applyAlignment="1">
      <alignment horizontal="right"/>
    </xf>
    <xf numFmtId="169" fontId="165" fillId="0" borderId="1" xfId="394" applyFont="1" applyBorder="1" applyAlignment="1">
      <alignment horizontal="right"/>
    </xf>
    <xf numFmtId="169" fontId="165" fillId="0" borderId="1" xfId="1028" applyNumberFormat="1" applyFont="1" applyBorder="1" applyAlignment="1">
      <alignment horizontal="right"/>
    </xf>
    <xf numFmtId="0" fontId="44" fillId="0" borderId="6" xfId="1028" applyFont="1" applyBorder="1"/>
    <xf numFmtId="0" fontId="44" fillId="0" borderId="11" xfId="1028" applyFont="1" applyBorder="1"/>
    <xf numFmtId="169" fontId="166" fillId="0" borderId="1" xfId="394" applyFont="1" applyBorder="1" applyAlignment="1">
      <alignment horizontal="right" vertical="center"/>
    </xf>
    <xf numFmtId="169" fontId="166" fillId="0" borderId="1" xfId="1028" applyNumberFormat="1" applyFont="1" applyBorder="1" applyAlignment="1">
      <alignment horizontal="right" vertical="center"/>
    </xf>
    <xf numFmtId="10" fontId="45" fillId="0" borderId="11" xfId="1815" applyNumberFormat="1" applyFont="1" applyBorder="1" applyAlignment="1">
      <alignment horizontal="right"/>
    </xf>
    <xf numFmtId="169" fontId="165" fillId="0" borderId="1" xfId="1028" applyNumberFormat="1" applyFont="1" applyBorder="1" applyAlignment="1">
      <alignment horizontal="right" vertical="center"/>
    </xf>
    <xf numFmtId="2" fontId="45" fillId="0" borderId="11" xfId="1028" applyNumberFormat="1" applyFont="1" applyBorder="1" applyAlignment="1">
      <alignment horizontal="right"/>
    </xf>
    <xf numFmtId="10" fontId="45" fillId="0" borderId="0" xfId="1815" applyNumberFormat="1" applyFont="1"/>
    <xf numFmtId="169" fontId="45" fillId="0" borderId="11" xfId="1028" applyNumberFormat="1" applyFont="1" applyBorder="1" applyAlignment="1">
      <alignment horizontal="right"/>
    </xf>
    <xf numFmtId="258" fontId="45" fillId="0" borderId="0" xfId="1028" applyNumberFormat="1" applyFont="1"/>
    <xf numFmtId="43" fontId="45" fillId="0" borderId="0" xfId="1028" applyNumberFormat="1" applyFont="1"/>
    <xf numFmtId="169" fontId="45" fillId="0" borderId="0" xfId="1815" applyNumberFormat="1" applyFont="1"/>
    <xf numFmtId="169" fontId="166" fillId="0" borderId="1" xfId="1028" applyNumberFormat="1" applyFont="1" applyBorder="1" applyAlignment="1">
      <alignment horizontal="right"/>
    </xf>
    <xf numFmtId="169" fontId="45" fillId="0" borderId="0" xfId="1028" applyNumberFormat="1" applyFont="1"/>
    <xf numFmtId="49" fontId="45" fillId="0" borderId="6" xfId="1028" applyNumberFormat="1" applyFont="1" applyBorder="1"/>
    <xf numFmtId="184" fontId="45" fillId="0" borderId="6" xfId="1815" applyNumberFormat="1" applyFont="1" applyBorder="1" applyAlignment="1">
      <alignment horizontal="right"/>
    </xf>
    <xf numFmtId="10" fontId="45" fillId="0" borderId="6" xfId="1815" applyNumberFormat="1" applyFont="1" applyBorder="1" applyAlignment="1">
      <alignment horizontal="right"/>
    </xf>
    <xf numFmtId="0" fontId="44" fillId="0" borderId="10" xfId="1028" applyFont="1" applyBorder="1" applyAlignment="1">
      <alignment horizontal="center"/>
    </xf>
    <xf numFmtId="0" fontId="44" fillId="0" borderId="6" xfId="1028" applyFont="1" applyBorder="1" applyAlignment="1">
      <alignment horizontal="center"/>
    </xf>
    <xf numFmtId="0" fontId="44" fillId="0" borderId="6" xfId="1028" applyFont="1" applyBorder="1" applyAlignment="1">
      <alignment horizontal="right"/>
    </xf>
    <xf numFmtId="0" fontId="44" fillId="0" borderId="42" xfId="1028" applyFont="1" applyBorder="1"/>
    <xf numFmtId="169" fontId="45" fillId="0" borderId="1" xfId="1028" applyNumberFormat="1" applyFont="1" applyBorder="1" applyAlignment="1">
      <alignment horizontal="right"/>
    </xf>
    <xf numFmtId="0" fontId="162" fillId="0" borderId="6" xfId="1028" applyFont="1" applyBorder="1"/>
    <xf numFmtId="0" fontId="45" fillId="0" borderId="6" xfId="1028" applyFont="1" applyBorder="1" applyAlignment="1">
      <alignment horizontal="center"/>
    </xf>
    <xf numFmtId="0" fontId="45" fillId="0" borderId="11" xfId="1028" applyFont="1" applyBorder="1" applyAlignment="1">
      <alignment horizontal="left"/>
    </xf>
    <xf numFmtId="169" fontId="164" fillId="0" borderId="1" xfId="394" applyFont="1" applyFill="1" applyBorder="1"/>
    <xf numFmtId="43" fontId="45" fillId="0" borderId="11" xfId="1028" applyNumberFormat="1" applyFont="1" applyBorder="1" applyAlignment="1">
      <alignment horizontal="right"/>
    </xf>
    <xf numFmtId="0" fontId="161" fillId="0" borderId="6" xfId="1028" applyFont="1" applyBorder="1"/>
    <xf numFmtId="0" fontId="44" fillId="0" borderId="42" xfId="1028" applyFont="1" applyBorder="1" applyAlignment="1">
      <alignment horizontal="center"/>
    </xf>
    <xf numFmtId="0" fontId="45" fillId="0" borderId="50" xfId="1028" applyFont="1" applyBorder="1"/>
    <xf numFmtId="169" fontId="45" fillId="0" borderId="48" xfId="1028" applyNumberFormat="1" applyFont="1" applyBorder="1" applyAlignment="1">
      <alignment horizontal="right"/>
    </xf>
    <xf numFmtId="169" fontId="45" fillId="0" borderId="11" xfId="394" applyFont="1" applyFill="1" applyBorder="1" applyAlignment="1">
      <alignment horizontal="right"/>
    </xf>
    <xf numFmtId="169" fontId="45" fillId="0" borderId="1" xfId="394" applyFont="1" applyBorder="1" applyAlignment="1">
      <alignment horizontal="right"/>
    </xf>
    <xf numFmtId="2" fontId="45" fillId="0" borderId="11" xfId="394" applyNumberFormat="1" applyFont="1" applyBorder="1" applyAlignment="1">
      <alignment horizontal="right"/>
    </xf>
    <xf numFmtId="169" fontId="44" fillId="0" borderId="11" xfId="1028" applyNumberFormat="1" applyFont="1" applyBorder="1" applyAlignment="1">
      <alignment horizontal="right"/>
    </xf>
    <xf numFmtId="2" fontId="45" fillId="0" borderId="11" xfId="1028" applyNumberFormat="1" applyFont="1" applyBorder="1"/>
    <xf numFmtId="169" fontId="166" fillId="0" borderId="11" xfId="1028" applyNumberFormat="1" applyFont="1" applyBorder="1" applyAlignment="1">
      <alignment horizontal="right"/>
    </xf>
    <xf numFmtId="0" fontId="45" fillId="0" borderId="0" xfId="1028" applyFont="1" applyAlignment="1">
      <alignment wrapText="1"/>
    </xf>
    <xf numFmtId="0" fontId="44" fillId="0" borderId="49" xfId="1028" applyFont="1" applyBorder="1" applyAlignment="1">
      <alignment horizontal="center"/>
    </xf>
    <xf numFmtId="0" fontId="44" fillId="0" borderId="42" xfId="1028" applyFont="1" applyBorder="1" applyAlignment="1">
      <alignment horizontal="right"/>
    </xf>
    <xf numFmtId="169" fontId="44" fillId="0" borderId="1" xfId="1028" applyNumberFormat="1" applyFont="1" applyBorder="1" applyAlignment="1">
      <alignment horizontal="right"/>
    </xf>
    <xf numFmtId="0" fontId="162" fillId="0" borderId="11" xfId="1028" applyFont="1" applyBorder="1" applyAlignment="1">
      <alignment horizontal="center"/>
    </xf>
    <xf numFmtId="0" fontId="45" fillId="0" borderId="42" xfId="1028" applyFont="1" applyBorder="1"/>
    <xf numFmtId="0" fontId="45" fillId="0" borderId="42" xfId="1028" applyFont="1" applyBorder="1" applyAlignment="1">
      <alignment horizontal="right"/>
    </xf>
    <xf numFmtId="0" fontId="44" fillId="0" borderId="2" xfId="1028" applyFont="1" applyBorder="1"/>
    <xf numFmtId="0" fontId="44" fillId="0" borderId="3" xfId="1028" applyFont="1" applyBorder="1"/>
    <xf numFmtId="0" fontId="45" fillId="0" borderId="3" xfId="1028" applyFont="1" applyBorder="1"/>
    <xf numFmtId="169" fontId="163" fillId="0" borderId="11" xfId="1028" applyNumberFormat="1" applyFont="1" applyBorder="1" applyAlignment="1">
      <alignment horizontal="center"/>
    </xf>
    <xf numFmtId="169" fontId="163" fillId="0" borderId="11" xfId="1028" applyNumberFormat="1" applyFont="1" applyBorder="1" applyAlignment="1">
      <alignment horizontal="right"/>
    </xf>
    <xf numFmtId="169" fontId="163" fillId="0" borderId="50" xfId="1028" applyNumberFormat="1" applyFont="1" applyBorder="1" applyAlignment="1">
      <alignment horizontal="center"/>
    </xf>
    <xf numFmtId="169" fontId="163" fillId="0" borderId="50" xfId="1028" applyNumberFormat="1" applyFont="1" applyBorder="1" applyAlignment="1">
      <alignment horizontal="right"/>
    </xf>
    <xf numFmtId="169" fontId="45" fillId="0" borderId="11" xfId="1028" applyNumberFormat="1" applyFont="1" applyBorder="1"/>
    <xf numFmtId="0" fontId="44" fillId="0" borderId="10" xfId="1028" applyFont="1" applyBorder="1" applyAlignment="1">
      <alignment horizontal="right"/>
    </xf>
    <xf numFmtId="169" fontId="44" fillId="0" borderId="11" xfId="1028" applyNumberFormat="1" applyFont="1" applyBorder="1"/>
    <xf numFmtId="169" fontId="45" fillId="0" borderId="11" xfId="1028" applyNumberFormat="1" applyFont="1" applyBorder="1" applyAlignment="1">
      <alignment horizontal="center" vertical="center"/>
    </xf>
    <xf numFmtId="169" fontId="45" fillId="0" borderId="1" xfId="1028" applyNumberFormat="1" applyFont="1" applyBorder="1" applyAlignment="1">
      <alignment horizontal="right" vertical="center"/>
    </xf>
    <xf numFmtId="169" fontId="45" fillId="0" borderId="1" xfId="1028" applyNumberFormat="1" applyFont="1" applyBorder="1"/>
    <xf numFmtId="0" fontId="44" fillId="0" borderId="14" xfId="1028" applyFont="1" applyBorder="1"/>
    <xf numFmtId="0" fontId="45" fillId="0" borderId="0" xfId="1028" applyFont="1" applyAlignment="1">
      <alignment horizontal="right"/>
    </xf>
    <xf numFmtId="169" fontId="44" fillId="0" borderId="1" xfId="1028" applyNumberFormat="1" applyFont="1" applyBorder="1" applyAlignment="1">
      <alignment horizontal="right" vertical="center"/>
    </xf>
    <xf numFmtId="0" fontId="166" fillId="0" borderId="6" xfId="1028" applyFont="1" applyBorder="1"/>
    <xf numFmtId="0" fontId="166" fillId="0" borderId="6" xfId="1028" applyFont="1" applyBorder="1" applyAlignment="1">
      <alignment horizontal="right"/>
    </xf>
    <xf numFmtId="169" fontId="45" fillId="0" borderId="6" xfId="1028" applyNumberFormat="1" applyFont="1" applyBorder="1" applyAlignment="1">
      <alignment horizontal="right" vertical="center"/>
    </xf>
    <xf numFmtId="0" fontId="45" fillId="0" borderId="3" xfId="1028" applyFont="1" applyBorder="1" applyAlignment="1">
      <alignment horizontal="right"/>
    </xf>
    <xf numFmtId="0" fontId="45" fillId="0" borderId="10" xfId="1028" applyFont="1" applyBorder="1"/>
    <xf numFmtId="2" fontId="45" fillId="0" borderId="1" xfId="1028" applyNumberFormat="1" applyFont="1" applyBorder="1" applyAlignment="1">
      <alignment horizontal="right" vertical="center"/>
    </xf>
    <xf numFmtId="43" fontId="45" fillId="0" borderId="1" xfId="1028" applyNumberFormat="1" applyFont="1" applyBorder="1" applyAlignment="1">
      <alignment horizontal="right" vertical="center"/>
    </xf>
    <xf numFmtId="0" fontId="166" fillId="0" borderId="0" xfId="1028" applyFont="1" applyAlignment="1">
      <alignment wrapText="1"/>
    </xf>
    <xf numFmtId="0" fontId="166" fillId="0" borderId="0" xfId="1028" applyFont="1" applyAlignment="1">
      <alignment horizontal="right" wrapText="1"/>
    </xf>
    <xf numFmtId="0" fontId="167" fillId="0" borderId="0" xfId="1028" applyFont="1" applyAlignment="1">
      <alignment horizontal="right" vertical="top" wrapText="1"/>
    </xf>
    <xf numFmtId="0" fontId="148" fillId="0" borderId="14" xfId="1028" applyFont="1" applyBorder="1"/>
    <xf numFmtId="0" fontId="148" fillId="0" borderId="0" xfId="1028" applyFont="1"/>
    <xf numFmtId="0" fontId="147" fillId="0" borderId="48" xfId="1028" applyFont="1" applyBorder="1"/>
    <xf numFmtId="0" fontId="146" fillId="63" borderId="0" xfId="1028" applyFont="1" applyFill="1"/>
    <xf numFmtId="0" fontId="132" fillId="63" borderId="0" xfId="1028" applyFont="1" applyFill="1" applyAlignment="1">
      <alignment horizontal="center"/>
    </xf>
    <xf numFmtId="0" fontId="149" fillId="0" borderId="0" xfId="0" applyFont="1" applyAlignment="1">
      <alignment horizontal="center"/>
    </xf>
    <xf numFmtId="0" fontId="140" fillId="0" borderId="0" xfId="0" applyFont="1" applyAlignment="1">
      <alignment horizontal="center"/>
    </xf>
    <xf numFmtId="0" fontId="5" fillId="63" borderId="10" xfId="0" applyFont="1" applyFill="1" applyBorder="1" applyAlignment="1">
      <alignment horizontal="center" vertical="center" wrapText="1"/>
    </xf>
    <xf numFmtId="0" fontId="5" fillId="63" borderId="6" xfId="0" applyFont="1" applyFill="1" applyBorder="1" applyAlignment="1">
      <alignment horizontal="center" vertical="center" wrapText="1"/>
    </xf>
    <xf numFmtId="0" fontId="5" fillId="63" borderId="11" xfId="0" applyFont="1" applyFill="1" applyBorder="1" applyAlignment="1">
      <alignment horizontal="center" vertical="center" wrapText="1"/>
    </xf>
    <xf numFmtId="0" fontId="138" fillId="0" borderId="10" xfId="0" applyFont="1" applyBorder="1" applyAlignment="1">
      <alignment horizontal="left"/>
    </xf>
    <xf numFmtId="0" fontId="138" fillId="0" borderId="6" xfId="0" applyFont="1" applyBorder="1" applyAlignment="1">
      <alignment horizontal="left"/>
    </xf>
    <xf numFmtId="0" fontId="138" fillId="0" borderId="11" xfId="0" applyFont="1" applyBorder="1" applyAlignment="1">
      <alignment horizontal="left"/>
    </xf>
    <xf numFmtId="0" fontId="5" fillId="63" borderId="1" xfId="0" applyFont="1" applyFill="1" applyBorder="1" applyAlignment="1">
      <alignment horizontal="center"/>
    </xf>
    <xf numFmtId="0" fontId="2" fillId="0" borderId="10"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left"/>
    </xf>
    <xf numFmtId="0" fontId="6" fillId="64" borderId="10" xfId="0" applyFont="1" applyFill="1" applyBorder="1" applyAlignment="1">
      <alignment horizontal="left"/>
    </xf>
    <xf numFmtId="0" fontId="6" fillId="64" borderId="6" xfId="0" applyFont="1" applyFill="1" applyBorder="1" applyAlignment="1">
      <alignment horizontal="left"/>
    </xf>
    <xf numFmtId="0" fontId="6" fillId="64" borderId="11" xfId="0" applyFont="1" applyFill="1" applyBorder="1" applyAlignment="1">
      <alignment horizontal="left"/>
    </xf>
    <xf numFmtId="0" fontId="7" fillId="0" borderId="10" xfId="0" applyFont="1" applyBorder="1" applyAlignment="1">
      <alignment horizontal="left"/>
    </xf>
    <xf numFmtId="0" fontId="7" fillId="0" borderId="6" xfId="0" applyFont="1" applyBorder="1" applyAlignment="1">
      <alignment horizontal="left"/>
    </xf>
    <xf numFmtId="0" fontId="7" fillId="0" borderId="11" xfId="0" applyFont="1" applyBorder="1" applyAlignment="1">
      <alignment horizontal="left"/>
    </xf>
    <xf numFmtId="0" fontId="3" fillId="0" borderId="10" xfId="0" applyFont="1" applyBorder="1" applyAlignment="1">
      <alignment horizontal="left"/>
    </xf>
    <xf numFmtId="0" fontId="3" fillId="0" borderId="6" xfId="0" applyFont="1" applyBorder="1" applyAlignment="1">
      <alignment horizontal="left"/>
    </xf>
    <xf numFmtId="0" fontId="3" fillId="0" borderId="11" xfId="0" applyFont="1" applyBorder="1" applyAlignment="1">
      <alignment horizontal="left"/>
    </xf>
    <xf numFmtId="0" fontId="3" fillId="0" borderId="3" xfId="0" applyFont="1" applyBorder="1" applyAlignment="1">
      <alignment horizontal="left" wrapText="1"/>
    </xf>
    <xf numFmtId="0" fontId="3" fillId="0" borderId="42" xfId="0" applyFont="1" applyBorder="1" applyAlignment="1">
      <alignment horizontal="left" wrapText="1"/>
    </xf>
    <xf numFmtId="0" fontId="2" fillId="64" borderId="10" xfId="0" applyFont="1" applyFill="1" applyBorder="1" applyAlignment="1">
      <alignment horizontal="right" indent="3"/>
    </xf>
    <xf numFmtId="0" fontId="2" fillId="64" borderId="6" xfId="0" applyFont="1" applyFill="1" applyBorder="1" applyAlignment="1">
      <alignment horizontal="right" indent="3"/>
    </xf>
    <xf numFmtId="0" fontId="2" fillId="64" borderId="11" xfId="0" applyFont="1" applyFill="1" applyBorder="1" applyAlignment="1">
      <alignment horizontal="right" indent="3"/>
    </xf>
    <xf numFmtId="0" fontId="132" fillId="63" borderId="49" xfId="0" applyFont="1" applyFill="1" applyBorder="1" applyAlignment="1">
      <alignment horizontal="center"/>
    </xf>
    <xf numFmtId="0" fontId="132" fillId="63" borderId="42" xfId="0" applyFont="1" applyFill="1" applyBorder="1" applyAlignment="1">
      <alignment horizontal="center"/>
    </xf>
    <xf numFmtId="0" fontId="141" fillId="0" borderId="0" xfId="0" applyFont="1" applyAlignment="1">
      <alignment horizontal="center" vertical="center"/>
    </xf>
    <xf numFmtId="0" fontId="4" fillId="63" borderId="49" xfId="0" applyFont="1" applyFill="1" applyBorder="1" applyAlignment="1">
      <alignment horizontal="center"/>
    </xf>
    <xf numFmtId="0" fontId="4" fillId="63" borderId="42" xfId="0" applyFont="1" applyFill="1" applyBorder="1" applyAlignment="1">
      <alignment horizontal="center"/>
    </xf>
    <xf numFmtId="0" fontId="134" fillId="63" borderId="10" xfId="0" applyFont="1" applyFill="1" applyBorder="1" applyAlignment="1">
      <alignment horizontal="center"/>
    </xf>
    <xf numFmtId="0" fontId="134" fillId="63" borderId="6" xfId="0" applyFont="1" applyFill="1" applyBorder="1" applyAlignment="1">
      <alignment horizontal="center"/>
    </xf>
    <xf numFmtId="0" fontId="5" fillId="63" borderId="14" xfId="0" applyFont="1" applyFill="1" applyBorder="1" applyAlignment="1">
      <alignment horizontal="center"/>
    </xf>
    <xf numFmtId="0" fontId="5" fillId="63" borderId="0" xfId="0" applyFont="1" applyFill="1" applyAlignment="1">
      <alignment horizontal="center"/>
    </xf>
    <xf numFmtId="0" fontId="160" fillId="64" borderId="0" xfId="0" applyFont="1" applyFill="1" applyAlignment="1">
      <alignment horizontal="center" vertical="top" wrapText="1"/>
    </xf>
    <xf numFmtId="0" fontId="132" fillId="63" borderId="0" xfId="1028" applyFont="1" applyFill="1" applyAlignment="1">
      <alignment horizontal="center"/>
    </xf>
    <xf numFmtId="0" fontId="147" fillId="0" borderId="0" xfId="1028" applyFont="1" applyAlignment="1">
      <alignment horizontal="left" vertical="top" wrapText="1"/>
    </xf>
    <xf numFmtId="0" fontId="147" fillId="0" borderId="28" xfId="1028" applyFont="1" applyBorder="1" applyAlignment="1">
      <alignment horizontal="left" vertical="top" wrapText="1"/>
    </xf>
    <xf numFmtId="0" fontId="5" fillId="63" borderId="0" xfId="1028" applyFont="1" applyFill="1" applyAlignment="1">
      <alignment horizontal="center" wrapText="1"/>
    </xf>
    <xf numFmtId="0" fontId="125" fillId="63" borderId="46" xfId="0" applyFont="1" applyFill="1" applyBorder="1" applyAlignment="1">
      <alignment horizontal="center" vertical="center"/>
    </xf>
    <xf numFmtId="0" fontId="125" fillId="63" borderId="4" xfId="0" applyFont="1" applyFill="1" applyBorder="1" applyAlignment="1">
      <alignment horizontal="center" vertical="center"/>
    </xf>
    <xf numFmtId="0" fontId="125" fillId="63" borderId="47" xfId="0" applyFont="1" applyFill="1" applyBorder="1" applyAlignment="1">
      <alignment horizontal="center" vertical="center"/>
    </xf>
    <xf numFmtId="0" fontId="0" fillId="0" borderId="0" xfId="0" applyAlignment="1">
      <alignment horizontal="center"/>
    </xf>
    <xf numFmtId="1" fontId="5" fillId="63" borderId="0" xfId="0" applyNumberFormat="1" applyFont="1" applyFill="1" applyAlignment="1">
      <alignment horizontal="center"/>
    </xf>
    <xf numFmtId="1" fontId="123" fillId="63" borderId="0" xfId="0" applyNumberFormat="1" applyFont="1" applyFill="1" applyAlignment="1">
      <alignment horizontal="right"/>
    </xf>
    <xf numFmtId="1" fontId="4" fillId="63" borderId="5" xfId="0" applyNumberFormat="1" applyFont="1" applyFill="1" applyBorder="1" applyAlignment="1">
      <alignment horizontal="center" wrapText="1"/>
    </xf>
    <xf numFmtId="1" fontId="4" fillId="63" borderId="45" xfId="0" applyNumberFormat="1" applyFont="1" applyFill="1" applyBorder="1" applyAlignment="1">
      <alignment horizontal="center" wrapText="1"/>
    </xf>
    <xf numFmtId="1" fontId="4" fillId="63" borderId="5" xfId="0" applyNumberFormat="1" applyFont="1" applyFill="1" applyBorder="1" applyAlignment="1">
      <alignment horizontal="center" vertical="center" wrapText="1"/>
    </xf>
    <xf numFmtId="1" fontId="4" fillId="63" borderId="45" xfId="0" applyNumberFormat="1" applyFont="1" applyFill="1" applyBorder="1" applyAlignment="1">
      <alignment horizontal="center" vertical="center" wrapText="1"/>
    </xf>
    <xf numFmtId="180" fontId="147" fillId="0" borderId="53" xfId="2181" applyNumberFormat="1" applyFont="1" applyBorder="1" applyAlignment="1">
      <alignment horizontal="justify" vertical="justify" wrapText="1"/>
    </xf>
    <xf numFmtId="180" fontId="147" fillId="0" borderId="0" xfId="2181" applyNumberFormat="1" applyFont="1" applyAlignment="1">
      <alignment horizontal="justify" vertical="justify" wrapText="1"/>
    </xf>
    <xf numFmtId="0" fontId="120" fillId="63" borderId="2" xfId="0" applyFont="1" applyFill="1" applyBorder="1" applyAlignment="1">
      <alignment horizontal="center"/>
    </xf>
    <xf numFmtId="0" fontId="120" fillId="63" borderId="3" xfId="0" applyFont="1" applyFill="1" applyBorder="1" applyAlignment="1">
      <alignment horizontal="center"/>
    </xf>
    <xf numFmtId="0" fontId="120" fillId="63" borderId="43" xfId="0" applyFont="1" applyFill="1" applyBorder="1" applyAlignment="1">
      <alignment horizontal="center"/>
    </xf>
    <xf numFmtId="0" fontId="125" fillId="63" borderId="0" xfId="0" applyFont="1" applyFill="1" applyAlignment="1">
      <alignment horizontal="center" vertical="center"/>
    </xf>
    <xf numFmtId="0" fontId="4" fillId="63" borderId="0" xfId="0" applyFont="1" applyFill="1" applyAlignment="1">
      <alignment horizontal="center" vertical="center" wrapText="1"/>
    </xf>
    <xf numFmtId="0" fontId="132" fillId="2" borderId="49" xfId="0" applyFont="1" applyFill="1" applyBorder="1" applyAlignment="1">
      <alignment horizontal="center"/>
    </xf>
    <xf numFmtId="0" fontId="132" fillId="2" borderId="42" xfId="0" applyFont="1" applyFill="1" applyBorder="1" applyAlignment="1">
      <alignment horizontal="center"/>
    </xf>
    <xf numFmtId="0" fontId="4" fillId="2" borderId="49" xfId="0" applyFont="1" applyFill="1" applyBorder="1" applyAlignment="1">
      <alignment horizontal="center"/>
    </xf>
    <xf numFmtId="0" fontId="4" fillId="2" borderId="42" xfId="0" applyFont="1" applyFill="1" applyBorder="1" applyAlignment="1">
      <alignment horizontal="center"/>
    </xf>
    <xf numFmtId="0" fontId="134" fillId="2" borderId="49" xfId="0" applyFont="1" applyFill="1" applyBorder="1" applyAlignment="1">
      <alignment horizontal="center"/>
    </xf>
    <xf numFmtId="0" fontId="134" fillId="2" borderId="42" xfId="0" applyFont="1" applyFill="1" applyBorder="1" applyAlignment="1">
      <alignment horizontal="center"/>
    </xf>
    <xf numFmtId="0" fontId="5" fillId="2" borderId="14" xfId="0" applyFont="1" applyFill="1" applyBorder="1" applyAlignment="1">
      <alignment horizontal="center"/>
    </xf>
    <xf numFmtId="0" fontId="5" fillId="2" borderId="0" xfId="0" applyFont="1" applyFill="1" applyAlignment="1">
      <alignment horizontal="center"/>
    </xf>
    <xf numFmtId="0" fontId="160" fillId="4" borderId="0" xfId="0" applyFont="1" applyFill="1" applyAlignment="1">
      <alignment horizontal="center" vertical="top" wrapText="1"/>
    </xf>
    <xf numFmtId="0" fontId="5" fillId="58" borderId="2" xfId="1028" applyFont="1" applyFill="1" applyBorder="1" applyAlignment="1">
      <alignment horizontal="center" wrapText="1"/>
    </xf>
    <xf numFmtId="0" fontId="146" fillId="58" borderId="3" xfId="1028" applyFont="1" applyFill="1" applyBorder="1" applyAlignment="1">
      <alignment horizontal="center" wrapText="1"/>
    </xf>
    <xf numFmtId="0" fontId="132" fillId="58" borderId="14" xfId="1028" applyFont="1" applyFill="1" applyBorder="1" applyAlignment="1">
      <alignment horizontal="center"/>
    </xf>
    <xf numFmtId="0" fontId="132" fillId="58" borderId="0" xfId="1028" applyFont="1" applyFill="1" applyAlignment="1">
      <alignment horizontal="center"/>
    </xf>
    <xf numFmtId="0" fontId="125" fillId="2" borderId="46" xfId="0" applyFont="1" applyFill="1" applyBorder="1" applyAlignment="1">
      <alignment horizontal="center" vertical="center"/>
    </xf>
    <xf numFmtId="0" fontId="125" fillId="2" borderId="4" xfId="0" applyFont="1" applyFill="1" applyBorder="1" applyAlignment="1">
      <alignment horizontal="center" vertical="center"/>
    </xf>
    <xf numFmtId="0" fontId="125" fillId="2" borderId="47" xfId="0" applyFont="1" applyFill="1" applyBorder="1" applyAlignment="1">
      <alignment horizontal="center" vertical="center"/>
    </xf>
    <xf numFmtId="1" fontId="5" fillId="2" borderId="0" xfId="0" applyNumberFormat="1" applyFont="1" applyFill="1" applyAlignment="1">
      <alignment horizontal="center"/>
    </xf>
    <xf numFmtId="1" fontId="123" fillId="2" borderId="0" xfId="0" applyNumberFormat="1" applyFont="1" applyFill="1" applyAlignment="1">
      <alignment horizontal="right"/>
    </xf>
    <xf numFmtId="1" fontId="4" fillId="2" borderId="5" xfId="0" applyNumberFormat="1" applyFont="1" applyFill="1" applyBorder="1" applyAlignment="1">
      <alignment horizontal="center" wrapText="1"/>
    </xf>
    <xf numFmtId="1" fontId="4" fillId="2" borderId="45" xfId="0" applyNumberFormat="1" applyFont="1" applyFill="1" applyBorder="1" applyAlignment="1">
      <alignment horizontal="center" wrapText="1"/>
    </xf>
    <xf numFmtId="1" fontId="4" fillId="2" borderId="5" xfId="0" applyNumberFormat="1" applyFont="1" applyFill="1" applyBorder="1" applyAlignment="1">
      <alignment horizontal="center" vertical="center" wrapText="1"/>
    </xf>
    <xf numFmtId="1" fontId="4" fillId="2" borderId="45" xfId="0" applyNumberFormat="1" applyFont="1" applyFill="1" applyBorder="1" applyAlignment="1">
      <alignment horizontal="center" vertical="center" wrapText="1"/>
    </xf>
    <xf numFmtId="0" fontId="120" fillId="2" borderId="2" xfId="0" applyFont="1" applyFill="1" applyBorder="1" applyAlignment="1">
      <alignment horizontal="center"/>
    </xf>
    <xf numFmtId="0" fontId="120" fillId="2" borderId="3" xfId="0" applyFont="1" applyFill="1" applyBorder="1" applyAlignment="1">
      <alignment horizontal="center"/>
    </xf>
    <xf numFmtId="0" fontId="120" fillId="2" borderId="43" xfId="0" applyFont="1" applyFill="1" applyBorder="1" applyAlignment="1">
      <alignment horizontal="center"/>
    </xf>
    <xf numFmtId="0" fontId="125" fillId="58" borderId="0" xfId="0" applyFont="1" applyFill="1" applyAlignment="1">
      <alignment horizontal="center" vertical="center"/>
    </xf>
    <xf numFmtId="0" fontId="4" fillId="58" borderId="0" xfId="0" applyFont="1" applyFill="1" applyAlignment="1">
      <alignment horizontal="center" vertical="center" wrapText="1"/>
    </xf>
    <xf numFmtId="0" fontId="132" fillId="65" borderId="49" xfId="0" applyFont="1" applyFill="1" applyBorder="1" applyAlignment="1">
      <alignment horizontal="center"/>
    </xf>
    <xf numFmtId="0" fontId="132" fillId="65" borderId="42" xfId="0" applyFont="1" applyFill="1" applyBorder="1" applyAlignment="1">
      <alignment horizontal="center"/>
    </xf>
    <xf numFmtId="0" fontId="4" fillId="65" borderId="49" xfId="0" applyFont="1" applyFill="1" applyBorder="1" applyAlignment="1">
      <alignment horizontal="center"/>
    </xf>
    <xf numFmtId="0" fontId="4" fillId="65" borderId="42" xfId="0" applyFont="1" applyFill="1" applyBorder="1" applyAlignment="1">
      <alignment horizontal="center"/>
    </xf>
    <xf numFmtId="0" fontId="134" fillId="65" borderId="10" xfId="0" applyFont="1" applyFill="1" applyBorder="1" applyAlignment="1">
      <alignment horizontal="center"/>
    </xf>
    <xf numFmtId="0" fontId="134" fillId="65" borderId="6" xfId="0" applyFont="1" applyFill="1" applyBorder="1" applyAlignment="1">
      <alignment horizontal="center"/>
    </xf>
    <xf numFmtId="0" fontId="125" fillId="65" borderId="0" xfId="0" applyFont="1" applyFill="1" applyAlignment="1">
      <alignment horizontal="center" vertical="center"/>
    </xf>
    <xf numFmtId="0" fontId="4" fillId="65" borderId="0" xfId="0" applyFont="1" applyFill="1" applyAlignment="1">
      <alignment horizontal="center" vertical="center" wrapText="1"/>
    </xf>
    <xf numFmtId="0" fontId="162" fillId="0" borderId="10" xfId="1028" applyFont="1" applyBorder="1" applyAlignment="1">
      <alignment horizontal="center"/>
    </xf>
    <xf numFmtId="0" fontId="162" fillId="0" borderId="6" xfId="1028" applyFont="1" applyBorder="1" applyAlignment="1">
      <alignment horizontal="center"/>
    </xf>
    <xf numFmtId="2" fontId="45" fillId="0" borderId="6" xfId="1028" applyNumberFormat="1" applyFont="1" applyBorder="1" applyAlignment="1">
      <alignment horizontal="right"/>
    </xf>
    <xf numFmtId="0" fontId="44" fillId="0" borderId="6" xfId="1028" applyFont="1" applyBorder="1" applyAlignment="1">
      <alignment horizontal="left"/>
    </xf>
    <xf numFmtId="0" fontId="162" fillId="0" borderId="11" xfId="1028" applyFont="1" applyBorder="1" applyAlignment="1">
      <alignment horizontal="center"/>
    </xf>
    <xf numFmtId="0" fontId="44" fillId="5" borderId="10" xfId="1028" applyFont="1" applyFill="1" applyBorder="1" applyAlignment="1">
      <alignment horizontal="center"/>
    </xf>
    <xf numFmtId="0" fontId="44" fillId="5" borderId="6" xfId="1028" applyFont="1" applyFill="1" applyBorder="1" applyAlignment="1">
      <alignment horizontal="center"/>
    </xf>
    <xf numFmtId="0" fontId="162" fillId="5" borderId="10" xfId="1028" applyFont="1" applyFill="1" applyBorder="1" applyAlignment="1">
      <alignment horizontal="center"/>
    </xf>
    <xf numFmtId="0" fontId="162" fillId="5" borderId="6" xfId="1028" applyFont="1" applyFill="1" applyBorder="1" applyAlignment="1">
      <alignment horizontal="center"/>
    </xf>
    <xf numFmtId="0" fontId="44" fillId="0" borderId="10" xfId="1028" applyFont="1" applyBorder="1" applyAlignment="1">
      <alignment horizontal="center"/>
    </xf>
    <xf numFmtId="0" fontId="44" fillId="0" borderId="6" xfId="1028" applyFont="1" applyBorder="1" applyAlignment="1">
      <alignment horizontal="center"/>
    </xf>
    <xf numFmtId="0" fontId="44" fillId="0" borderId="42" xfId="1028" applyFont="1" applyBorder="1" applyAlignment="1">
      <alignment horizontal="center"/>
    </xf>
    <xf numFmtId="0" fontId="162" fillId="0" borderId="3" xfId="1028" applyFont="1" applyBorder="1" applyAlignment="1">
      <alignment horizontal="center"/>
    </xf>
    <xf numFmtId="0" fontId="45" fillId="0" borderId="6" xfId="1028" applyFont="1" applyBorder="1" applyAlignment="1">
      <alignment horizontal="left"/>
    </xf>
    <xf numFmtId="0" fontId="44" fillId="68" borderId="10" xfId="1028" applyFont="1" applyFill="1" applyBorder="1" applyAlignment="1">
      <alignment horizontal="center"/>
    </xf>
    <xf numFmtId="0" fontId="44" fillId="68" borderId="6" xfId="1028" applyFont="1" applyFill="1" applyBorder="1" applyAlignment="1">
      <alignment horizontal="center"/>
    </xf>
    <xf numFmtId="0" fontId="162" fillId="68" borderId="10" xfId="1028" applyFont="1" applyFill="1" applyBorder="1" applyAlignment="1">
      <alignment horizontal="center"/>
    </xf>
    <xf numFmtId="0" fontId="162" fillId="68" borderId="6" xfId="1028" applyFont="1" applyFill="1" applyBorder="1" applyAlignment="1">
      <alignment horizontal="center"/>
    </xf>
    <xf numFmtId="0" fontId="45" fillId="0" borderId="11" xfId="1028" applyFont="1" applyBorder="1" applyAlignment="1">
      <alignment horizontal="left"/>
    </xf>
    <xf numFmtId="257" fontId="44" fillId="5" borderId="10" xfId="1028" applyNumberFormat="1" applyFont="1" applyFill="1" applyBorder="1" applyAlignment="1">
      <alignment horizontal="center"/>
    </xf>
    <xf numFmtId="257" fontId="44" fillId="5" borderId="6" xfId="1028" applyNumberFormat="1" applyFont="1" applyFill="1" applyBorder="1" applyAlignment="1">
      <alignment horizontal="center"/>
    </xf>
    <xf numFmtId="0" fontId="161" fillId="5" borderId="14" xfId="1028" applyFont="1" applyFill="1" applyBorder="1" applyAlignment="1">
      <alignment horizontal="center"/>
    </xf>
    <xf numFmtId="0" fontId="161" fillId="5" borderId="0" xfId="1028" applyFont="1" applyFill="1" applyAlignment="1">
      <alignment horizontal="center"/>
    </xf>
  </cellXfs>
  <cellStyles count="2210">
    <cellStyle name="$" xfId="4" xr:uid="{00000000-0005-0000-0000-000000000000}"/>
    <cellStyle name="$(0)" xfId="5" xr:uid="{00000000-0005-0000-0000-000001000000}"/>
    <cellStyle name="$_3CD_2010-11_annexures" xfId="6" xr:uid="{00000000-0005-0000-0000-000002000000}"/>
    <cellStyle name="(0)" xfId="7" xr:uid="{00000000-0005-0000-0000-000003000000}"/>
    <cellStyle name="(0.0%)" xfId="8" xr:uid="{00000000-0005-0000-0000-000004000000}"/>
    <cellStyle name="??" xfId="9" xr:uid="{00000000-0005-0000-0000-000005000000}"/>
    <cellStyle name="??                          " xfId="2183" xr:uid="{00000000-0005-0000-0000-000006000000}"/>
    <cellStyle name="?? [0.00]_laroux" xfId="10" xr:uid="{00000000-0005-0000-0000-000007000000}"/>
    <cellStyle name="?? 10" xfId="11" xr:uid="{00000000-0005-0000-0000-000008000000}"/>
    <cellStyle name="?? 11" xfId="12" xr:uid="{00000000-0005-0000-0000-000009000000}"/>
    <cellStyle name="?? 12" xfId="13" xr:uid="{00000000-0005-0000-0000-00000A000000}"/>
    <cellStyle name="?? 13" xfId="14" xr:uid="{00000000-0005-0000-0000-00000B000000}"/>
    <cellStyle name="?? 14" xfId="15" xr:uid="{00000000-0005-0000-0000-00000C000000}"/>
    <cellStyle name="?? 15" xfId="16" xr:uid="{00000000-0005-0000-0000-00000D000000}"/>
    <cellStyle name="?? 16" xfId="17" xr:uid="{00000000-0005-0000-0000-00000E000000}"/>
    <cellStyle name="?? 2" xfId="18" xr:uid="{00000000-0005-0000-0000-00000F000000}"/>
    <cellStyle name="?? 3" xfId="19" xr:uid="{00000000-0005-0000-0000-000010000000}"/>
    <cellStyle name="?? 4" xfId="20" xr:uid="{00000000-0005-0000-0000-000011000000}"/>
    <cellStyle name="?? 5" xfId="21" xr:uid="{00000000-0005-0000-0000-000012000000}"/>
    <cellStyle name="?? 6" xfId="22" xr:uid="{00000000-0005-0000-0000-000013000000}"/>
    <cellStyle name="?? 7" xfId="23" xr:uid="{00000000-0005-0000-0000-000014000000}"/>
    <cellStyle name="?? 8" xfId="24" xr:uid="{00000000-0005-0000-0000-000015000000}"/>
    <cellStyle name="?? 9" xfId="25" xr:uid="{00000000-0005-0000-0000-000016000000}"/>
    <cellStyle name="???? [0.00]_laroux" xfId="26" xr:uid="{00000000-0005-0000-0000-000017000000}"/>
    <cellStyle name="????_laroux" xfId="27" xr:uid="{00000000-0005-0000-0000-000018000000}"/>
    <cellStyle name="??_??" xfId="28" xr:uid="{00000000-0005-0000-0000-000019000000}"/>
    <cellStyle name="_____DPO Balance of August" xfId="29" xr:uid="{00000000-0005-0000-0000-00001A000000}"/>
    <cellStyle name="_____DSO Collection Forecast" xfId="30" xr:uid="{00000000-0005-0000-0000-00001B000000}"/>
    <cellStyle name="___DPO Balance of August" xfId="31" xr:uid="{00000000-0005-0000-0000-00001C000000}"/>
    <cellStyle name="___DSO Collection Forecast" xfId="32" xr:uid="{00000000-0005-0000-0000-00001D000000}"/>
    <cellStyle name="___Finance Level 2 PD_Charts rev 07-09-02" xfId="33" xr:uid="{00000000-0005-0000-0000-00001E000000}"/>
    <cellStyle name="_3CD_2008-09_annexure" xfId="34" xr:uid="{00000000-0005-0000-0000-00001F000000}"/>
    <cellStyle name="_43 B" xfId="35" xr:uid="{00000000-0005-0000-0000-000020000000}"/>
    <cellStyle name="_Advanta Sales report Dec07" xfId="36" xr:uid="{00000000-0005-0000-0000-000021000000}"/>
    <cellStyle name="_Advanta Sales report Dec07_JVP June 23 July" xfId="37" xr:uid="{00000000-0005-0000-0000-000022000000}"/>
    <cellStyle name="_Advanta Sales report Dec07_JVP June 23 July_Linked financial of Agro" xfId="38" xr:uid="{00000000-0005-0000-0000-000023000000}"/>
    <cellStyle name="_Advanta Sales report Dec07_STS JVP Dec  09  Ind Div 11-05-2010 5th draft" xfId="39" xr:uid="{00000000-0005-0000-0000-000024000000}"/>
    <cellStyle name="_Advanta Sales report Dec07_STS JVP Dec  09  Ind Div 11-05-2010 5th draft_FINACIAL FORMULATION 2009-2010" xfId="40" xr:uid="{00000000-0005-0000-0000-000025000000}"/>
    <cellStyle name="_Advanta Sales report Dec07_STS JVP Dec  09  Ind Div 11-05-2010 5th draft_old" xfId="41" xr:uid="{00000000-0005-0000-0000-000026000000}"/>
    <cellStyle name="_Advanta Sales report Dec07_STS JVP Dec  09  Ind Div 19-05-2010 9th draft 31-03-2010" xfId="42" xr:uid="{00000000-0005-0000-0000-000027000000}"/>
    <cellStyle name="_Advanta Sales report Dec07_STS JVP Dec  09  Ind Div 19-05-2010 9th draft 31-03-2010_Linked financial of Agro" xfId="43" xr:uid="{00000000-0005-0000-0000-000028000000}"/>
    <cellStyle name="_Annexure 1" xfId="44" xr:uid="{00000000-0005-0000-0000-000029000000}"/>
    <cellStyle name="_Annexure I &amp; II - Nycomed_March 09" xfId="45" xr:uid="{00000000-0005-0000-0000-00002A000000}"/>
    <cellStyle name="_Annexure I &amp; II to 3CD_March 09" xfId="46" xr:uid="{00000000-0005-0000-0000-00002B000000}"/>
    <cellStyle name="_Book1" xfId="47" xr:uid="{00000000-0005-0000-0000-00002C000000}"/>
    <cellStyle name="_Budget Consolidation Mar 08" xfId="48" xr:uid="{00000000-0005-0000-0000-00002D000000}"/>
    <cellStyle name="_Budget-08" xfId="49" xr:uid="{00000000-0005-0000-0000-00002E000000}"/>
    <cellStyle name="_Budget-08_JVP June 23 July" xfId="50" xr:uid="{00000000-0005-0000-0000-00002F000000}"/>
    <cellStyle name="_Budget-08_JVP June 23 July_Linked financial of Agro" xfId="51" xr:uid="{00000000-0005-0000-0000-000030000000}"/>
    <cellStyle name="_Budget-08_STS JVP Dec  09  Ind Div 11-05-2010 5th draft" xfId="52" xr:uid="{00000000-0005-0000-0000-000031000000}"/>
    <cellStyle name="_Budget-08_STS JVP Dec  09  Ind Div 11-05-2010 5th draft_FINACIAL FORMULATION 2009-2010" xfId="53" xr:uid="{00000000-0005-0000-0000-000032000000}"/>
    <cellStyle name="_Budget-08_STS JVP Dec  09  Ind Div 11-05-2010 5th draft_old" xfId="54" xr:uid="{00000000-0005-0000-0000-000033000000}"/>
    <cellStyle name="_Budget-08_STS JVP Dec  09  Ind Div 19-05-2010 9th draft 31-03-2010" xfId="55" xr:uid="{00000000-0005-0000-0000-000034000000}"/>
    <cellStyle name="_Budget-08_STS JVP Dec  09  Ind Div 19-05-2010 9th draft 31-03-2010_Linked financial of Agro" xfId="56" xr:uid="{00000000-0005-0000-0000-000035000000}"/>
    <cellStyle name="_Clause 22 Cenvat Credits" xfId="57" xr:uid="{00000000-0005-0000-0000-000036000000}"/>
    <cellStyle name="_Column1" xfId="58" xr:uid="{00000000-0005-0000-0000-000037000000}"/>
    <cellStyle name="_Column2" xfId="59" xr:uid="{00000000-0005-0000-0000-000038000000}"/>
    <cellStyle name="_Column2_3CD_2010-11_annexures" xfId="60" xr:uid="{00000000-0005-0000-0000-000039000000}"/>
    <cellStyle name="_Column3" xfId="61" xr:uid="{00000000-0005-0000-0000-00003A000000}"/>
    <cellStyle name="_Column4" xfId="62" xr:uid="{00000000-0005-0000-0000-00003B000000}"/>
    <cellStyle name="_Column5" xfId="63" xr:uid="{00000000-0005-0000-0000-00003C000000}"/>
    <cellStyle name="_Column6" xfId="64" xr:uid="{00000000-0005-0000-0000-00003D000000}"/>
    <cellStyle name="_Column7" xfId="65" xr:uid="{00000000-0005-0000-0000-00003E000000}"/>
    <cellStyle name="_Column7_3CD_2010-11_annexures" xfId="66" xr:uid="{00000000-0005-0000-0000-00003F000000}"/>
    <cellStyle name="_Current Liabilities" xfId="67" xr:uid="{00000000-0005-0000-0000-000040000000}"/>
    <cellStyle name="_Data" xfId="68" xr:uid="{00000000-0005-0000-0000-000041000000}"/>
    <cellStyle name="_DEP as per IT" xfId="69" xr:uid="{00000000-0005-0000-0000-000042000000}"/>
    <cellStyle name="_Dep chart" xfId="70" xr:uid="{00000000-0005-0000-0000-000043000000}"/>
    <cellStyle name="_Gratuity and Leave Encashment Paid 09-10" xfId="71" xr:uid="{00000000-0005-0000-0000-000044000000}"/>
    <cellStyle name="_Header" xfId="72" xr:uid="{00000000-0005-0000-0000-000045000000}"/>
    <cellStyle name="_Inventory availability end Feb 08" xfId="73" xr:uid="{00000000-0005-0000-0000-000046000000}"/>
    <cellStyle name="_Inventory availability end Feb 08_JVP June 23 July" xfId="74" xr:uid="{00000000-0005-0000-0000-000047000000}"/>
    <cellStyle name="_Inventory availability end Feb 08_JVP June 23 July_Linked financial of Agro" xfId="75" xr:uid="{00000000-0005-0000-0000-000048000000}"/>
    <cellStyle name="_Inventory availability end Feb 08_STS JVP Dec  09  Ind Div 11-05-2010 5th draft" xfId="76" xr:uid="{00000000-0005-0000-0000-000049000000}"/>
    <cellStyle name="_Inventory availability end Feb 08_STS JVP Dec  09  Ind Div 11-05-2010 5th draft_FINACIAL FORMULATION 2009-2010" xfId="77" xr:uid="{00000000-0005-0000-0000-00004A000000}"/>
    <cellStyle name="_Inventory availability end Feb 08_STS JVP Dec  09  Ind Div 11-05-2010 5th draft_old" xfId="78" xr:uid="{00000000-0005-0000-0000-00004B000000}"/>
    <cellStyle name="_Inventory availability end Feb 08_STS JVP Dec  09  Ind Div 19-05-2010 9th draft 31-03-2010" xfId="79" xr:uid="{00000000-0005-0000-0000-00004C000000}"/>
    <cellStyle name="_Inventory availability end Feb 08_STS JVP Dec  09  Ind Div 19-05-2010 9th draft 31-03-2010_Linked financial of Agro" xfId="80" xr:uid="{00000000-0005-0000-0000-00004D000000}"/>
    <cellStyle name="_Inventory Valuation Dec 07 MIS" xfId="81" xr:uid="{00000000-0005-0000-0000-00004E000000}"/>
    <cellStyle name="_Inventory Valuation Dec 07 MIS_JVP June 23 July" xfId="82" xr:uid="{00000000-0005-0000-0000-00004F000000}"/>
    <cellStyle name="_Inventory Valuation Dec 07 MIS_JVP June 23 July_Linked financial of Agro" xfId="83" xr:uid="{00000000-0005-0000-0000-000050000000}"/>
    <cellStyle name="_Inventory Valuation Dec 07 MIS_STS JVP Dec  09  Ind Div 11-05-2010 5th draft" xfId="84" xr:uid="{00000000-0005-0000-0000-000051000000}"/>
    <cellStyle name="_Inventory Valuation Dec 07 MIS_STS JVP Dec  09  Ind Div 11-05-2010 5th draft_FINACIAL FORMULATION 2009-2010" xfId="85" xr:uid="{00000000-0005-0000-0000-000052000000}"/>
    <cellStyle name="_Inventory Valuation Dec 07 MIS_STS JVP Dec  09  Ind Div 11-05-2010 5th draft_old" xfId="86" xr:uid="{00000000-0005-0000-0000-000053000000}"/>
    <cellStyle name="_Inventory Valuation Dec 07 MIS_STS JVP Dec  09  Ind Div 19-05-2010 9th draft 31-03-2010" xfId="87" xr:uid="{00000000-0005-0000-0000-000054000000}"/>
    <cellStyle name="_Inventory Valuation Dec 07 MIS_STS JVP Dec  09  Ind Div 19-05-2010 9th draft 31-03-2010_Linked financial of Agro" xfId="88" xr:uid="{00000000-0005-0000-0000-000055000000}"/>
    <cellStyle name="_Monthly Reporting - India MIS July-08" xfId="89" xr:uid="{00000000-0005-0000-0000-000056000000}"/>
    <cellStyle name="_O SASY FBT M08" xfId="90" xr:uid="{00000000-0005-0000-0000-000057000000}"/>
    <cellStyle name="_Row1" xfId="91" xr:uid="{00000000-0005-0000-0000-000058000000}"/>
    <cellStyle name="_Row2" xfId="92" xr:uid="{00000000-0005-0000-0000-000059000000}"/>
    <cellStyle name="_Row2_3CD_2010-11_annexures" xfId="93" xr:uid="{00000000-0005-0000-0000-00005A000000}"/>
    <cellStyle name="_Row3" xfId="94" xr:uid="{00000000-0005-0000-0000-00005B000000}"/>
    <cellStyle name="_Row4" xfId="95" xr:uid="{00000000-0005-0000-0000-00005C000000}"/>
    <cellStyle name="_Row5" xfId="96" xr:uid="{00000000-0005-0000-0000-00005D000000}"/>
    <cellStyle name="_Row6" xfId="97" xr:uid="{00000000-0005-0000-0000-00005E000000}"/>
    <cellStyle name="_Row7" xfId="98" xr:uid="{00000000-0005-0000-0000-00005F000000}"/>
    <cellStyle name="_Row7_3CD_2010-11_annexures" xfId="99" xr:uid="{00000000-0005-0000-0000-000060000000}"/>
    <cellStyle name="_Sales report.Jan08" xfId="100" xr:uid="{00000000-0005-0000-0000-000061000000}"/>
    <cellStyle name="_Sales report.Jan08_JVP June 23 July" xfId="101" xr:uid="{00000000-0005-0000-0000-000062000000}"/>
    <cellStyle name="_Sales report.Jan08_JVP June 23 July_Linked financial of Agro" xfId="102" xr:uid="{00000000-0005-0000-0000-000063000000}"/>
    <cellStyle name="_Sales report.Jan08_STS JVP Dec  09  Ind Div 11-05-2010 5th draft" xfId="103" xr:uid="{00000000-0005-0000-0000-000064000000}"/>
    <cellStyle name="_Sales report.Jan08_STS JVP Dec  09  Ind Div 11-05-2010 5th draft_FINACIAL FORMULATION 2009-2010" xfId="104" xr:uid="{00000000-0005-0000-0000-000065000000}"/>
    <cellStyle name="_Sales report.Jan08_STS JVP Dec  09  Ind Div 11-05-2010 5th draft_old" xfId="105" xr:uid="{00000000-0005-0000-0000-000066000000}"/>
    <cellStyle name="_Sales report.Jan08_STS JVP Dec  09  Ind Div 19-05-2010 9th draft 31-03-2010" xfId="106" xr:uid="{00000000-0005-0000-0000-000067000000}"/>
    <cellStyle name="_Sales report.Jan08_STS JVP Dec  09  Ind Div 19-05-2010 9th draft 31-03-2010_Linked financial of Agro" xfId="107" xr:uid="{00000000-0005-0000-0000-000068000000}"/>
    <cellStyle name="_Sales-Comparative Analysis" xfId="108" xr:uid="{00000000-0005-0000-0000-000069000000}"/>
    <cellStyle name="_sil  Mar 08 Tax Acs_Ver 6" xfId="109" xr:uid="{00000000-0005-0000-0000-00006A000000}"/>
    <cellStyle name="_Tax Audit Form 3CD annex" xfId="110" xr:uid="{00000000-0005-0000-0000-00006B000000}"/>
    <cellStyle name="_Tax Audit WP SEED" xfId="111" xr:uid="{00000000-0005-0000-0000-00006C000000}"/>
    <cellStyle name="_Year End outlook-AIL+GS-22 Jan 09" xfId="112" xr:uid="{00000000-0005-0000-0000-00006D000000}"/>
    <cellStyle name="_Year End outlook-AIL+GS-22 Jan 09_JVP June 23 July" xfId="113" xr:uid="{00000000-0005-0000-0000-00006E000000}"/>
    <cellStyle name="_Year End outlook-AIL+GS-22 Jan 09_JVP June 23 July_Linked financial of Agro" xfId="114" xr:uid="{00000000-0005-0000-0000-00006F000000}"/>
    <cellStyle name="_Year End outlook-AIL+GS-22 Jan 09_STS JVP Dec  09  Ind Div 11-05-2010 5th draft" xfId="115" xr:uid="{00000000-0005-0000-0000-000070000000}"/>
    <cellStyle name="_Year End outlook-AIL+GS-22 Jan 09_STS JVP Dec  09  Ind Div 11-05-2010 5th draft_FINACIAL FORMULATION 2009-2010" xfId="116" xr:uid="{00000000-0005-0000-0000-000071000000}"/>
    <cellStyle name="_Year End outlook-AIL+GS-22 Jan 09_STS JVP Dec  09  Ind Div 11-05-2010 5th draft_old" xfId="117" xr:uid="{00000000-0005-0000-0000-000072000000}"/>
    <cellStyle name="_Year End outlook-AIL+GS-22 Jan 09_STS JVP Dec  09  Ind Div 19-05-2010 9th draft 31-03-2010" xfId="118" xr:uid="{00000000-0005-0000-0000-000073000000}"/>
    <cellStyle name="_Year End outlook-AIL+GS-22 Jan 09_STS JVP Dec  09  Ind Div 19-05-2010 9th draft 31-03-2010_Linked financial of Agro" xfId="119" xr:uid="{00000000-0005-0000-0000-000074000000}"/>
    <cellStyle name="’Ê‰Ý [0.00]_guyan" xfId="120" xr:uid="{00000000-0005-0000-0000-000075000000}"/>
    <cellStyle name="’Ê‰Ý_guyan" xfId="121" xr:uid="{00000000-0005-0000-0000-000076000000}"/>
    <cellStyle name="•W?_Fem.Pro" xfId="122" xr:uid="{00000000-0005-0000-0000-000077000000}"/>
    <cellStyle name="•W_Electrical" xfId="123" xr:uid="{00000000-0005-0000-0000-000078000000}"/>
    <cellStyle name="0,0_x000d__x000a_NA_x000d__x000a_" xfId="124" xr:uid="{00000000-0005-0000-0000-000079000000}"/>
    <cellStyle name="¹éºÐÀ²_±âÅ¸" xfId="125" xr:uid="{00000000-0005-0000-0000-00007A000000}"/>
    <cellStyle name="20% - Accent1 2" xfId="126" xr:uid="{00000000-0005-0000-0000-00007B000000}"/>
    <cellStyle name="20% - Accent1 3" xfId="127" xr:uid="{00000000-0005-0000-0000-00007C000000}"/>
    <cellStyle name="20% - Accent1 4" xfId="128" xr:uid="{00000000-0005-0000-0000-00007D000000}"/>
    <cellStyle name="20% - Accent1 5" xfId="129" xr:uid="{00000000-0005-0000-0000-00007E000000}"/>
    <cellStyle name="20% - Accent1 6" xfId="130" xr:uid="{00000000-0005-0000-0000-00007F000000}"/>
    <cellStyle name="20% - Accent1 7" xfId="131" xr:uid="{00000000-0005-0000-0000-000080000000}"/>
    <cellStyle name="20% - Accent2 2" xfId="132" xr:uid="{00000000-0005-0000-0000-000081000000}"/>
    <cellStyle name="20% - Accent2 3" xfId="133" xr:uid="{00000000-0005-0000-0000-000082000000}"/>
    <cellStyle name="20% - Accent2 4" xfId="134" xr:uid="{00000000-0005-0000-0000-000083000000}"/>
    <cellStyle name="20% - Accent2 5" xfId="135" xr:uid="{00000000-0005-0000-0000-000084000000}"/>
    <cellStyle name="20% - Accent2 6" xfId="136" xr:uid="{00000000-0005-0000-0000-000085000000}"/>
    <cellStyle name="20% - Accent2 7" xfId="137" xr:uid="{00000000-0005-0000-0000-000086000000}"/>
    <cellStyle name="20% - Accent3 2" xfId="138" xr:uid="{00000000-0005-0000-0000-000087000000}"/>
    <cellStyle name="20% - Accent3 3" xfId="139" xr:uid="{00000000-0005-0000-0000-000088000000}"/>
    <cellStyle name="20% - Accent3 4" xfId="140" xr:uid="{00000000-0005-0000-0000-000089000000}"/>
    <cellStyle name="20% - Accent3 5" xfId="141" xr:uid="{00000000-0005-0000-0000-00008A000000}"/>
    <cellStyle name="20% - Accent3 6" xfId="142" xr:uid="{00000000-0005-0000-0000-00008B000000}"/>
    <cellStyle name="20% - Accent3 7" xfId="143" xr:uid="{00000000-0005-0000-0000-00008C000000}"/>
    <cellStyle name="20% - Accent4 2" xfId="144" xr:uid="{00000000-0005-0000-0000-00008D000000}"/>
    <cellStyle name="20% - Accent4 3" xfId="145" xr:uid="{00000000-0005-0000-0000-00008E000000}"/>
    <cellStyle name="20% - Accent4 4" xfId="146" xr:uid="{00000000-0005-0000-0000-00008F000000}"/>
    <cellStyle name="20% - Accent4 5" xfId="147" xr:uid="{00000000-0005-0000-0000-000090000000}"/>
    <cellStyle name="20% - Accent4 6" xfId="148" xr:uid="{00000000-0005-0000-0000-000091000000}"/>
    <cellStyle name="20% - Accent4 7" xfId="149" xr:uid="{00000000-0005-0000-0000-000092000000}"/>
    <cellStyle name="20% - Accent5 2" xfId="150" xr:uid="{00000000-0005-0000-0000-000093000000}"/>
    <cellStyle name="20% - Accent5 3" xfId="151" xr:uid="{00000000-0005-0000-0000-000094000000}"/>
    <cellStyle name="20% - Accent5 4" xfId="152" xr:uid="{00000000-0005-0000-0000-000095000000}"/>
    <cellStyle name="20% - Accent5 5" xfId="153" xr:uid="{00000000-0005-0000-0000-000096000000}"/>
    <cellStyle name="20% - Accent5 6" xfId="154" xr:uid="{00000000-0005-0000-0000-000097000000}"/>
    <cellStyle name="20% - Accent5 7" xfId="155" xr:uid="{00000000-0005-0000-0000-000098000000}"/>
    <cellStyle name="20% - Accent6 2" xfId="156" xr:uid="{00000000-0005-0000-0000-000099000000}"/>
    <cellStyle name="20% - Accent6 3" xfId="157" xr:uid="{00000000-0005-0000-0000-00009A000000}"/>
    <cellStyle name="20% - Accent6 4" xfId="158" xr:uid="{00000000-0005-0000-0000-00009B000000}"/>
    <cellStyle name="20% - Accent6 5" xfId="159" xr:uid="{00000000-0005-0000-0000-00009C000000}"/>
    <cellStyle name="20% - Accent6 6" xfId="160" xr:uid="{00000000-0005-0000-0000-00009D000000}"/>
    <cellStyle name="20% - Accent6 7" xfId="161" xr:uid="{00000000-0005-0000-0000-00009E000000}"/>
    <cellStyle name="40% - Accent1 2" xfId="162" xr:uid="{00000000-0005-0000-0000-00009F000000}"/>
    <cellStyle name="40% - Accent1 3" xfId="163" xr:uid="{00000000-0005-0000-0000-0000A0000000}"/>
    <cellStyle name="40% - Accent1 4" xfId="164" xr:uid="{00000000-0005-0000-0000-0000A1000000}"/>
    <cellStyle name="40% - Accent1 5" xfId="165" xr:uid="{00000000-0005-0000-0000-0000A2000000}"/>
    <cellStyle name="40% - Accent1 6" xfId="166" xr:uid="{00000000-0005-0000-0000-0000A3000000}"/>
    <cellStyle name="40% - Accent1 7" xfId="167" xr:uid="{00000000-0005-0000-0000-0000A4000000}"/>
    <cellStyle name="40% - Accent2 2" xfId="168" xr:uid="{00000000-0005-0000-0000-0000A5000000}"/>
    <cellStyle name="40% - Accent2 3" xfId="169" xr:uid="{00000000-0005-0000-0000-0000A6000000}"/>
    <cellStyle name="40% - Accent2 4" xfId="170" xr:uid="{00000000-0005-0000-0000-0000A7000000}"/>
    <cellStyle name="40% - Accent2 5" xfId="171" xr:uid="{00000000-0005-0000-0000-0000A8000000}"/>
    <cellStyle name="40% - Accent2 6" xfId="172" xr:uid="{00000000-0005-0000-0000-0000A9000000}"/>
    <cellStyle name="40% - Accent2 7" xfId="173" xr:uid="{00000000-0005-0000-0000-0000AA000000}"/>
    <cellStyle name="40% - Accent3 2" xfId="174" xr:uid="{00000000-0005-0000-0000-0000AB000000}"/>
    <cellStyle name="40% - Accent3 3" xfId="175" xr:uid="{00000000-0005-0000-0000-0000AC000000}"/>
    <cellStyle name="40% - Accent3 4" xfId="176" xr:uid="{00000000-0005-0000-0000-0000AD000000}"/>
    <cellStyle name="40% - Accent3 5" xfId="177" xr:uid="{00000000-0005-0000-0000-0000AE000000}"/>
    <cellStyle name="40% - Accent3 6" xfId="178" xr:uid="{00000000-0005-0000-0000-0000AF000000}"/>
    <cellStyle name="40% - Accent3 7" xfId="179" xr:uid="{00000000-0005-0000-0000-0000B0000000}"/>
    <cellStyle name="40% - Accent4 2" xfId="180" xr:uid="{00000000-0005-0000-0000-0000B1000000}"/>
    <cellStyle name="40% - Accent4 3" xfId="181" xr:uid="{00000000-0005-0000-0000-0000B2000000}"/>
    <cellStyle name="40% - Accent4 4" xfId="182" xr:uid="{00000000-0005-0000-0000-0000B3000000}"/>
    <cellStyle name="40% - Accent4 5" xfId="183" xr:uid="{00000000-0005-0000-0000-0000B4000000}"/>
    <cellStyle name="40% - Accent4 6" xfId="184" xr:uid="{00000000-0005-0000-0000-0000B5000000}"/>
    <cellStyle name="40% - Accent4 7" xfId="185" xr:uid="{00000000-0005-0000-0000-0000B6000000}"/>
    <cellStyle name="40% - Accent5 2" xfId="186" xr:uid="{00000000-0005-0000-0000-0000B7000000}"/>
    <cellStyle name="40% - Accent5 3" xfId="187" xr:uid="{00000000-0005-0000-0000-0000B8000000}"/>
    <cellStyle name="40% - Accent5 4" xfId="188" xr:uid="{00000000-0005-0000-0000-0000B9000000}"/>
    <cellStyle name="40% - Accent5 5" xfId="189" xr:uid="{00000000-0005-0000-0000-0000BA000000}"/>
    <cellStyle name="40% - Accent5 6" xfId="190" xr:uid="{00000000-0005-0000-0000-0000BB000000}"/>
    <cellStyle name="40% - Accent5 7" xfId="191" xr:uid="{00000000-0005-0000-0000-0000BC000000}"/>
    <cellStyle name="40% - Accent6 2" xfId="192" xr:uid="{00000000-0005-0000-0000-0000BD000000}"/>
    <cellStyle name="40% - Accent6 3" xfId="193" xr:uid="{00000000-0005-0000-0000-0000BE000000}"/>
    <cellStyle name="40% - Accent6 4" xfId="194" xr:uid="{00000000-0005-0000-0000-0000BF000000}"/>
    <cellStyle name="40% - Accent6 5" xfId="195" xr:uid="{00000000-0005-0000-0000-0000C0000000}"/>
    <cellStyle name="40% - Accent6 6" xfId="196" xr:uid="{00000000-0005-0000-0000-0000C1000000}"/>
    <cellStyle name="40% - Accent6 7" xfId="197" xr:uid="{00000000-0005-0000-0000-0000C2000000}"/>
    <cellStyle name="60% - Accent1 2" xfId="198" xr:uid="{00000000-0005-0000-0000-0000C3000000}"/>
    <cellStyle name="60% - Accent1 3" xfId="199" xr:uid="{00000000-0005-0000-0000-0000C4000000}"/>
    <cellStyle name="60% - Accent1 4" xfId="200" xr:uid="{00000000-0005-0000-0000-0000C5000000}"/>
    <cellStyle name="60% - Accent1 5" xfId="201" xr:uid="{00000000-0005-0000-0000-0000C6000000}"/>
    <cellStyle name="60% - Accent1 6" xfId="202" xr:uid="{00000000-0005-0000-0000-0000C7000000}"/>
    <cellStyle name="60% - Accent1 7" xfId="203" xr:uid="{00000000-0005-0000-0000-0000C8000000}"/>
    <cellStyle name="60% - Accent2 2" xfId="204" xr:uid="{00000000-0005-0000-0000-0000C9000000}"/>
    <cellStyle name="60% - Accent2 3" xfId="205" xr:uid="{00000000-0005-0000-0000-0000CA000000}"/>
    <cellStyle name="60% - Accent2 4" xfId="206" xr:uid="{00000000-0005-0000-0000-0000CB000000}"/>
    <cellStyle name="60% - Accent2 5" xfId="207" xr:uid="{00000000-0005-0000-0000-0000CC000000}"/>
    <cellStyle name="60% - Accent2 6" xfId="208" xr:uid="{00000000-0005-0000-0000-0000CD000000}"/>
    <cellStyle name="60% - Accent2 7" xfId="209" xr:uid="{00000000-0005-0000-0000-0000CE000000}"/>
    <cellStyle name="60% - Accent3 2" xfId="210" xr:uid="{00000000-0005-0000-0000-0000CF000000}"/>
    <cellStyle name="60% - Accent3 3" xfId="211" xr:uid="{00000000-0005-0000-0000-0000D0000000}"/>
    <cellStyle name="60% - Accent3 4" xfId="212" xr:uid="{00000000-0005-0000-0000-0000D1000000}"/>
    <cellStyle name="60% - Accent3 5" xfId="213" xr:uid="{00000000-0005-0000-0000-0000D2000000}"/>
    <cellStyle name="60% - Accent3 6" xfId="214" xr:uid="{00000000-0005-0000-0000-0000D3000000}"/>
    <cellStyle name="60% - Accent3 7" xfId="215" xr:uid="{00000000-0005-0000-0000-0000D4000000}"/>
    <cellStyle name="60% - Accent4 2" xfId="216" xr:uid="{00000000-0005-0000-0000-0000D5000000}"/>
    <cellStyle name="60% - Accent4 3" xfId="217" xr:uid="{00000000-0005-0000-0000-0000D6000000}"/>
    <cellStyle name="60% - Accent4 4" xfId="218" xr:uid="{00000000-0005-0000-0000-0000D7000000}"/>
    <cellStyle name="60% - Accent4 5" xfId="219" xr:uid="{00000000-0005-0000-0000-0000D8000000}"/>
    <cellStyle name="60% - Accent4 6" xfId="220" xr:uid="{00000000-0005-0000-0000-0000D9000000}"/>
    <cellStyle name="60% - Accent4 7" xfId="221" xr:uid="{00000000-0005-0000-0000-0000DA000000}"/>
    <cellStyle name="60% - Accent5 2" xfId="222" xr:uid="{00000000-0005-0000-0000-0000DB000000}"/>
    <cellStyle name="60% - Accent5 3" xfId="223" xr:uid="{00000000-0005-0000-0000-0000DC000000}"/>
    <cellStyle name="60% - Accent5 4" xfId="224" xr:uid="{00000000-0005-0000-0000-0000DD000000}"/>
    <cellStyle name="60% - Accent5 5" xfId="225" xr:uid="{00000000-0005-0000-0000-0000DE000000}"/>
    <cellStyle name="60% - Accent5 6" xfId="226" xr:uid="{00000000-0005-0000-0000-0000DF000000}"/>
    <cellStyle name="60% - Accent5 7" xfId="227" xr:uid="{00000000-0005-0000-0000-0000E0000000}"/>
    <cellStyle name="60% - Accent6 2" xfId="228" xr:uid="{00000000-0005-0000-0000-0000E1000000}"/>
    <cellStyle name="60% - Accent6 3" xfId="229" xr:uid="{00000000-0005-0000-0000-0000E2000000}"/>
    <cellStyle name="60% - Accent6 4" xfId="230" xr:uid="{00000000-0005-0000-0000-0000E3000000}"/>
    <cellStyle name="60% - Accent6 5" xfId="231" xr:uid="{00000000-0005-0000-0000-0000E4000000}"/>
    <cellStyle name="60% - Accent6 6" xfId="232" xr:uid="{00000000-0005-0000-0000-0000E5000000}"/>
    <cellStyle name="60% - Accent6 7" xfId="233" xr:uid="{00000000-0005-0000-0000-0000E6000000}"/>
    <cellStyle name="A(0)" xfId="234" xr:uid="{00000000-0005-0000-0000-0000E7000000}"/>
    <cellStyle name="A(R 0)" xfId="235" xr:uid="{00000000-0005-0000-0000-0000E8000000}"/>
    <cellStyle name="Accent1 2" xfId="236" xr:uid="{00000000-0005-0000-0000-0000E9000000}"/>
    <cellStyle name="Accent1 3" xfId="237" xr:uid="{00000000-0005-0000-0000-0000EA000000}"/>
    <cellStyle name="Accent1 4" xfId="238" xr:uid="{00000000-0005-0000-0000-0000EB000000}"/>
    <cellStyle name="Accent1 5" xfId="239" xr:uid="{00000000-0005-0000-0000-0000EC000000}"/>
    <cellStyle name="Accent1 6" xfId="240" xr:uid="{00000000-0005-0000-0000-0000ED000000}"/>
    <cellStyle name="Accent1 7" xfId="241" xr:uid="{00000000-0005-0000-0000-0000EE000000}"/>
    <cellStyle name="Accent2 2" xfId="242" xr:uid="{00000000-0005-0000-0000-0000EF000000}"/>
    <cellStyle name="Accent2 3" xfId="243" xr:uid="{00000000-0005-0000-0000-0000F0000000}"/>
    <cellStyle name="Accent2 4" xfId="244" xr:uid="{00000000-0005-0000-0000-0000F1000000}"/>
    <cellStyle name="Accent2 5" xfId="245" xr:uid="{00000000-0005-0000-0000-0000F2000000}"/>
    <cellStyle name="Accent2 6" xfId="246" xr:uid="{00000000-0005-0000-0000-0000F3000000}"/>
    <cellStyle name="Accent2 7" xfId="247" xr:uid="{00000000-0005-0000-0000-0000F4000000}"/>
    <cellStyle name="Accent3 2" xfId="248" xr:uid="{00000000-0005-0000-0000-0000F5000000}"/>
    <cellStyle name="Accent3 3" xfId="249" xr:uid="{00000000-0005-0000-0000-0000F6000000}"/>
    <cellStyle name="Accent3 4" xfId="250" xr:uid="{00000000-0005-0000-0000-0000F7000000}"/>
    <cellStyle name="Accent3 5" xfId="251" xr:uid="{00000000-0005-0000-0000-0000F8000000}"/>
    <cellStyle name="Accent3 6" xfId="252" xr:uid="{00000000-0005-0000-0000-0000F9000000}"/>
    <cellStyle name="Accent3 7" xfId="253" xr:uid="{00000000-0005-0000-0000-0000FA000000}"/>
    <cellStyle name="Accent4 2" xfId="254" xr:uid="{00000000-0005-0000-0000-0000FB000000}"/>
    <cellStyle name="Accent4 3" xfId="255" xr:uid="{00000000-0005-0000-0000-0000FC000000}"/>
    <cellStyle name="Accent4 4" xfId="256" xr:uid="{00000000-0005-0000-0000-0000FD000000}"/>
    <cellStyle name="Accent4 5" xfId="257" xr:uid="{00000000-0005-0000-0000-0000FE000000}"/>
    <cellStyle name="Accent4 6" xfId="258" xr:uid="{00000000-0005-0000-0000-0000FF000000}"/>
    <cellStyle name="Accent4 7" xfId="259" xr:uid="{00000000-0005-0000-0000-000000010000}"/>
    <cellStyle name="Accent5 2" xfId="260" xr:uid="{00000000-0005-0000-0000-000001010000}"/>
    <cellStyle name="Accent5 3" xfId="261" xr:uid="{00000000-0005-0000-0000-000002010000}"/>
    <cellStyle name="Accent5 4" xfId="262" xr:uid="{00000000-0005-0000-0000-000003010000}"/>
    <cellStyle name="Accent5 5" xfId="263" xr:uid="{00000000-0005-0000-0000-000004010000}"/>
    <cellStyle name="Accent5 6" xfId="264" xr:uid="{00000000-0005-0000-0000-000005010000}"/>
    <cellStyle name="Accent5 7" xfId="265" xr:uid="{00000000-0005-0000-0000-000006010000}"/>
    <cellStyle name="Accent6 2" xfId="266" xr:uid="{00000000-0005-0000-0000-000007010000}"/>
    <cellStyle name="Accent6 3" xfId="267" xr:uid="{00000000-0005-0000-0000-000008010000}"/>
    <cellStyle name="Accent6 4" xfId="268" xr:uid="{00000000-0005-0000-0000-000009010000}"/>
    <cellStyle name="Accent6 5" xfId="269" xr:uid="{00000000-0005-0000-0000-00000A010000}"/>
    <cellStyle name="Accent6 6" xfId="270" xr:uid="{00000000-0005-0000-0000-00000B010000}"/>
    <cellStyle name="Accent6 7" xfId="271" xr:uid="{00000000-0005-0000-0000-00000C010000}"/>
    <cellStyle name="AcNote" xfId="272" xr:uid="{00000000-0005-0000-0000-00000D010000}"/>
    <cellStyle name="active" xfId="273" xr:uid="{00000000-0005-0000-0000-00000E010000}"/>
    <cellStyle name="ÅëÈ­ [0]_¿µ¹®Á¶Á÷µµ" xfId="274" xr:uid="{00000000-0005-0000-0000-00000F010000}"/>
    <cellStyle name="AeE­ [0]_INQUIRY ¿μ¾÷AßAø " xfId="2184" xr:uid="{00000000-0005-0000-0000-000010010000}"/>
    <cellStyle name="ÅëÈ­_¿µ¹®Á¶Á÷µµ" xfId="275" xr:uid="{00000000-0005-0000-0000-000011010000}"/>
    <cellStyle name="AeE­_INQUIRY ¿μ¾÷AßAø " xfId="2185" xr:uid="{00000000-0005-0000-0000-000012010000}"/>
    <cellStyle name="amount" xfId="276" xr:uid="{00000000-0005-0000-0000-000013010000}"/>
    <cellStyle name="args.style" xfId="277" xr:uid="{00000000-0005-0000-0000-000014010000}"/>
    <cellStyle name="ÄÞ¸¶ [0]_±âÅ¸" xfId="278" xr:uid="{00000000-0005-0000-0000-000015010000}"/>
    <cellStyle name="AÞ¸¶ [0]_INQUIRY ¿?¾÷AßAø " xfId="2186" xr:uid="{00000000-0005-0000-0000-000016010000}"/>
    <cellStyle name="ÄÞ¸¶_±âÅ¸" xfId="279" xr:uid="{00000000-0005-0000-0000-000017010000}"/>
    <cellStyle name="AÞ¸¶_INQUIRY ¿?¾÷AßAø " xfId="2187" xr:uid="{00000000-0005-0000-0000-000018010000}"/>
    <cellStyle name="AutoFormat Options" xfId="280" xr:uid="{00000000-0005-0000-0000-000019010000}"/>
    <cellStyle name="Bad 2" xfId="281" xr:uid="{00000000-0005-0000-0000-00001A010000}"/>
    <cellStyle name="Bad 3" xfId="282" xr:uid="{00000000-0005-0000-0000-00001B010000}"/>
    <cellStyle name="Bad 4" xfId="283" xr:uid="{00000000-0005-0000-0000-00001C010000}"/>
    <cellStyle name="Bad 5" xfId="284" xr:uid="{00000000-0005-0000-0000-00001D010000}"/>
    <cellStyle name="Bad 6" xfId="285" xr:uid="{00000000-0005-0000-0000-00001E010000}"/>
    <cellStyle name="Bad 7" xfId="286" xr:uid="{00000000-0005-0000-0000-00001F010000}"/>
    <cellStyle name="Body" xfId="287" xr:uid="{00000000-0005-0000-0000-000020010000}"/>
    <cellStyle name="Body text" xfId="288" xr:uid="{00000000-0005-0000-0000-000021010000}"/>
    <cellStyle name="Border" xfId="289" xr:uid="{00000000-0005-0000-0000-000022010000}"/>
    <cellStyle name="BOXED" xfId="290" xr:uid="{00000000-0005-0000-0000-000023010000}"/>
    <cellStyle name="C?AØ_¿?¾÷CoE² " xfId="2188" xr:uid="{00000000-0005-0000-0000-000024010000}"/>
    <cellStyle name="Ç¥ÁØ_¿ù°£¿ä¾àº¸°í" xfId="291" xr:uid="{00000000-0005-0000-0000-000025010000}"/>
    <cellStyle name="C￥AØ_¿μ¾÷CoE² " xfId="2189" xr:uid="{00000000-0005-0000-0000-000026010000}"/>
    <cellStyle name="Calc Currency (0)" xfId="292" xr:uid="{00000000-0005-0000-0000-000027010000}"/>
    <cellStyle name="Calc Currency (2)" xfId="293" xr:uid="{00000000-0005-0000-0000-000028010000}"/>
    <cellStyle name="Calc Percent (0)" xfId="294" xr:uid="{00000000-0005-0000-0000-000029010000}"/>
    <cellStyle name="Calc Percent (1)" xfId="295" xr:uid="{00000000-0005-0000-0000-00002A010000}"/>
    <cellStyle name="Calc Percent (2)" xfId="296" xr:uid="{00000000-0005-0000-0000-00002B010000}"/>
    <cellStyle name="Calc Units (0)" xfId="297" xr:uid="{00000000-0005-0000-0000-00002C010000}"/>
    <cellStyle name="Calc Units (1)" xfId="298" xr:uid="{00000000-0005-0000-0000-00002D010000}"/>
    <cellStyle name="Calc Units (2)" xfId="299" xr:uid="{00000000-0005-0000-0000-00002E010000}"/>
    <cellStyle name="Calculation 2" xfId="300" xr:uid="{00000000-0005-0000-0000-00002F010000}"/>
    <cellStyle name="Calculation 3" xfId="301" xr:uid="{00000000-0005-0000-0000-000030010000}"/>
    <cellStyle name="Calculation 4" xfId="302" xr:uid="{00000000-0005-0000-0000-000031010000}"/>
    <cellStyle name="Calculation 5" xfId="303" xr:uid="{00000000-0005-0000-0000-000032010000}"/>
    <cellStyle name="Calculation 6" xfId="304" xr:uid="{00000000-0005-0000-0000-000033010000}"/>
    <cellStyle name="Calculation 7" xfId="305" xr:uid="{00000000-0005-0000-0000-000034010000}"/>
    <cellStyle name="category" xfId="306" xr:uid="{00000000-0005-0000-0000-000035010000}"/>
    <cellStyle name="CellStyle" xfId="307" xr:uid="{00000000-0005-0000-0000-000036010000}"/>
    <cellStyle name="Check Cell 2" xfId="308" xr:uid="{00000000-0005-0000-0000-000037010000}"/>
    <cellStyle name="Check Cell 3" xfId="309" xr:uid="{00000000-0005-0000-0000-000038010000}"/>
    <cellStyle name="Check Cell 4" xfId="310" xr:uid="{00000000-0005-0000-0000-000039010000}"/>
    <cellStyle name="Check Cell 5" xfId="311" xr:uid="{00000000-0005-0000-0000-00003A010000}"/>
    <cellStyle name="Check Cell 6" xfId="312" xr:uid="{00000000-0005-0000-0000-00003B010000}"/>
    <cellStyle name="Check Cell 7" xfId="313" xr:uid="{00000000-0005-0000-0000-00003C010000}"/>
    <cellStyle name="Column Heading" xfId="314" xr:uid="{00000000-0005-0000-0000-00003D010000}"/>
    <cellStyle name="ColumnHeaderBoldFillStyle" xfId="315" xr:uid="{00000000-0005-0000-0000-00003E010000}"/>
    <cellStyle name="Comma" xfId="2" builtinId="3"/>
    <cellStyle name="Comma  - Style1" xfId="316" xr:uid="{00000000-0005-0000-0000-000040010000}"/>
    <cellStyle name="Comma  - Style2" xfId="317" xr:uid="{00000000-0005-0000-0000-000041010000}"/>
    <cellStyle name="Comma  - Style3" xfId="318" xr:uid="{00000000-0005-0000-0000-000042010000}"/>
    <cellStyle name="Comma  - Style4" xfId="319" xr:uid="{00000000-0005-0000-0000-000043010000}"/>
    <cellStyle name="Comma  - Style5" xfId="320" xr:uid="{00000000-0005-0000-0000-000044010000}"/>
    <cellStyle name="Comma  - Style6" xfId="321" xr:uid="{00000000-0005-0000-0000-000045010000}"/>
    <cellStyle name="Comma  - Style7" xfId="322" xr:uid="{00000000-0005-0000-0000-000046010000}"/>
    <cellStyle name="Comma  - Style8" xfId="323" xr:uid="{00000000-0005-0000-0000-000047010000}"/>
    <cellStyle name="Comma [0]&lt;" xfId="324" xr:uid="{00000000-0005-0000-0000-000048010000}"/>
    <cellStyle name="Comma [00]" xfId="325" xr:uid="{00000000-0005-0000-0000-000049010000}"/>
    <cellStyle name="Comma -&gt; [0]" xfId="326" xr:uid="{00000000-0005-0000-0000-00004A010000}"/>
    <cellStyle name="Comma 10" xfId="327" xr:uid="{00000000-0005-0000-0000-00004B010000}"/>
    <cellStyle name="Comma 10 2" xfId="328" xr:uid="{00000000-0005-0000-0000-00004C010000}"/>
    <cellStyle name="Comma 10 2 2" xfId="329" xr:uid="{00000000-0005-0000-0000-00004D010000}"/>
    <cellStyle name="Comma 10 2 2 2" xfId="330" xr:uid="{00000000-0005-0000-0000-00004E010000}"/>
    <cellStyle name="Comma 10 2 2 2 10" xfId="331" xr:uid="{00000000-0005-0000-0000-00004F010000}"/>
    <cellStyle name="Comma 10 2 2 2 11" xfId="332" xr:uid="{00000000-0005-0000-0000-000050010000}"/>
    <cellStyle name="Comma 10 2 2 2 12" xfId="333" xr:uid="{00000000-0005-0000-0000-000051010000}"/>
    <cellStyle name="Comma 10 2 2 2 13" xfId="334" xr:uid="{00000000-0005-0000-0000-000052010000}"/>
    <cellStyle name="Comma 10 2 2 2 14" xfId="335" xr:uid="{00000000-0005-0000-0000-000053010000}"/>
    <cellStyle name="Comma 10 2 2 2 15" xfId="336" xr:uid="{00000000-0005-0000-0000-000054010000}"/>
    <cellStyle name="Comma 10 2 2 2 2" xfId="337" xr:uid="{00000000-0005-0000-0000-000055010000}"/>
    <cellStyle name="Comma 10 2 2 2 3" xfId="338" xr:uid="{00000000-0005-0000-0000-000056010000}"/>
    <cellStyle name="Comma 10 2 2 2 4" xfId="339" xr:uid="{00000000-0005-0000-0000-000057010000}"/>
    <cellStyle name="Comma 10 2 2 2 4 2" xfId="340" xr:uid="{00000000-0005-0000-0000-000058010000}"/>
    <cellStyle name="Comma 10 2 2 2 4 2 2" xfId="341" xr:uid="{00000000-0005-0000-0000-000059010000}"/>
    <cellStyle name="Comma 10 2 2 2 4 2 3" xfId="342" xr:uid="{00000000-0005-0000-0000-00005A010000}"/>
    <cellStyle name="Comma 10 2 2 2 4 2 4" xfId="343" xr:uid="{00000000-0005-0000-0000-00005B010000}"/>
    <cellStyle name="Comma 10 2 2 2 4 2 5" xfId="344" xr:uid="{00000000-0005-0000-0000-00005C010000}"/>
    <cellStyle name="Comma 10 2 2 2 4 3" xfId="345" xr:uid="{00000000-0005-0000-0000-00005D010000}"/>
    <cellStyle name="Comma 10 2 2 2 4 4" xfId="346" xr:uid="{00000000-0005-0000-0000-00005E010000}"/>
    <cellStyle name="Comma 10 2 2 2 4 5" xfId="347" xr:uid="{00000000-0005-0000-0000-00005F010000}"/>
    <cellStyle name="Comma 10 2 2 2 5" xfId="348" xr:uid="{00000000-0005-0000-0000-000060010000}"/>
    <cellStyle name="Comma 10 2 2 2 6" xfId="349" xr:uid="{00000000-0005-0000-0000-000061010000}"/>
    <cellStyle name="Comma 10 2 2 2 7" xfId="350" xr:uid="{00000000-0005-0000-0000-000062010000}"/>
    <cellStyle name="Comma 10 2 2 2 8" xfId="351" xr:uid="{00000000-0005-0000-0000-000063010000}"/>
    <cellStyle name="Comma 10 2 2 2 9" xfId="352" xr:uid="{00000000-0005-0000-0000-000064010000}"/>
    <cellStyle name="Comma 10 2 2 2_Schedule CMA" xfId="353" xr:uid="{00000000-0005-0000-0000-000065010000}"/>
    <cellStyle name="Comma 10 3" xfId="354" xr:uid="{00000000-0005-0000-0000-000066010000}"/>
    <cellStyle name="Comma 10 3 2" xfId="355" xr:uid="{00000000-0005-0000-0000-000067010000}"/>
    <cellStyle name="Comma 10 3 2 2" xfId="356" xr:uid="{00000000-0005-0000-0000-000068010000}"/>
    <cellStyle name="Comma 10 3 2 2 2" xfId="357" xr:uid="{00000000-0005-0000-0000-000069010000}"/>
    <cellStyle name="Comma 10 4" xfId="358" xr:uid="{00000000-0005-0000-0000-00006A010000}"/>
    <cellStyle name="Comma 10 4 2" xfId="359" xr:uid="{00000000-0005-0000-0000-00006B010000}"/>
    <cellStyle name="Comma 10 4 3" xfId="360" xr:uid="{00000000-0005-0000-0000-00006C010000}"/>
    <cellStyle name="Comma 10 5" xfId="361" xr:uid="{00000000-0005-0000-0000-00006D010000}"/>
    <cellStyle name="Comma 11" xfId="362" xr:uid="{00000000-0005-0000-0000-00006E010000}"/>
    <cellStyle name="Comma 11 2" xfId="363" xr:uid="{00000000-0005-0000-0000-00006F010000}"/>
    <cellStyle name="Comma 11 2 2" xfId="364" xr:uid="{00000000-0005-0000-0000-000070010000}"/>
    <cellStyle name="Comma 11 2 2 2" xfId="365" xr:uid="{00000000-0005-0000-0000-000071010000}"/>
    <cellStyle name="Comma 11 2 3" xfId="366" xr:uid="{00000000-0005-0000-0000-000072010000}"/>
    <cellStyle name="Comma 11 3" xfId="367" xr:uid="{00000000-0005-0000-0000-000073010000}"/>
    <cellStyle name="Comma 11 3 2" xfId="368" xr:uid="{00000000-0005-0000-0000-000074010000}"/>
    <cellStyle name="Comma 12" xfId="369" xr:uid="{00000000-0005-0000-0000-000075010000}"/>
    <cellStyle name="Comma 12 2" xfId="370" xr:uid="{00000000-0005-0000-0000-000076010000}"/>
    <cellStyle name="Comma 12 3" xfId="371" xr:uid="{00000000-0005-0000-0000-000077010000}"/>
    <cellStyle name="Comma 13" xfId="372" xr:uid="{00000000-0005-0000-0000-000078010000}"/>
    <cellStyle name="Comma 14" xfId="373" xr:uid="{00000000-0005-0000-0000-000079010000}"/>
    <cellStyle name="Comma 14 2" xfId="374" xr:uid="{00000000-0005-0000-0000-00007A010000}"/>
    <cellStyle name="Comma 14 2 2" xfId="375" xr:uid="{00000000-0005-0000-0000-00007B010000}"/>
    <cellStyle name="Comma 14 2 2 10" xfId="376" xr:uid="{00000000-0005-0000-0000-00007C010000}"/>
    <cellStyle name="Comma 14 2 2 11" xfId="377" xr:uid="{00000000-0005-0000-0000-00007D010000}"/>
    <cellStyle name="Comma 14 2 2 12" xfId="378" xr:uid="{00000000-0005-0000-0000-00007E010000}"/>
    <cellStyle name="Comma 14 2 2 13" xfId="379" xr:uid="{00000000-0005-0000-0000-00007F010000}"/>
    <cellStyle name="Comma 14 2 2 2" xfId="380" xr:uid="{00000000-0005-0000-0000-000080010000}"/>
    <cellStyle name="Comma 14 2 2 2 2" xfId="381" xr:uid="{00000000-0005-0000-0000-000081010000}"/>
    <cellStyle name="Comma 14 2 2 2 3" xfId="382" xr:uid="{00000000-0005-0000-0000-000082010000}"/>
    <cellStyle name="Comma 14 2 2 2 4" xfId="383" xr:uid="{00000000-0005-0000-0000-000083010000}"/>
    <cellStyle name="Comma 14 2 2 2 5" xfId="384" xr:uid="{00000000-0005-0000-0000-000084010000}"/>
    <cellStyle name="Comma 14 2 2 3" xfId="385" xr:uid="{00000000-0005-0000-0000-000085010000}"/>
    <cellStyle name="Comma 14 2 2 4" xfId="386" xr:uid="{00000000-0005-0000-0000-000086010000}"/>
    <cellStyle name="Comma 14 2 2 5" xfId="387" xr:uid="{00000000-0005-0000-0000-000087010000}"/>
    <cellStyle name="Comma 14 2 2 6" xfId="388" xr:uid="{00000000-0005-0000-0000-000088010000}"/>
    <cellStyle name="Comma 14 2 2 7" xfId="389" xr:uid="{00000000-0005-0000-0000-000089010000}"/>
    <cellStyle name="Comma 14 2 2 8" xfId="390" xr:uid="{00000000-0005-0000-0000-00008A010000}"/>
    <cellStyle name="Comma 14 2 2 9" xfId="391" xr:uid="{00000000-0005-0000-0000-00008B010000}"/>
    <cellStyle name="Comma 14 3" xfId="392" xr:uid="{00000000-0005-0000-0000-00008C010000}"/>
    <cellStyle name="Comma 14_Linked_Financials_with_TB consolidated march JVP  (2)" xfId="393" xr:uid="{00000000-0005-0000-0000-00008D010000}"/>
    <cellStyle name="Comma 15" xfId="394" xr:uid="{00000000-0005-0000-0000-00008E010000}"/>
    <cellStyle name="Comma 15 2" xfId="395" xr:uid="{00000000-0005-0000-0000-00008F010000}"/>
    <cellStyle name="Comma 15 3" xfId="396" xr:uid="{00000000-0005-0000-0000-000090010000}"/>
    <cellStyle name="Comma 16" xfId="397" xr:uid="{00000000-0005-0000-0000-000091010000}"/>
    <cellStyle name="Comma 17" xfId="398" xr:uid="{00000000-0005-0000-0000-000092010000}"/>
    <cellStyle name="Comma 18" xfId="399" xr:uid="{00000000-0005-0000-0000-000093010000}"/>
    <cellStyle name="Comma 18 2" xfId="400" xr:uid="{00000000-0005-0000-0000-000094010000}"/>
    <cellStyle name="Comma 19" xfId="401" xr:uid="{00000000-0005-0000-0000-000095010000}"/>
    <cellStyle name="Comma 19 2" xfId="402" xr:uid="{00000000-0005-0000-0000-000096010000}"/>
    <cellStyle name="Comma 2" xfId="403" xr:uid="{00000000-0005-0000-0000-000097010000}"/>
    <cellStyle name="Comma 2 10" xfId="404" xr:uid="{00000000-0005-0000-0000-000098010000}"/>
    <cellStyle name="Comma 2 10 2" xfId="405" xr:uid="{00000000-0005-0000-0000-000099010000}"/>
    <cellStyle name="Comma 2 10 2 2" xfId="406" xr:uid="{00000000-0005-0000-0000-00009A010000}"/>
    <cellStyle name="Comma 2 10 2 3" xfId="407" xr:uid="{00000000-0005-0000-0000-00009B010000}"/>
    <cellStyle name="Comma 2 10 2 4" xfId="408" xr:uid="{00000000-0005-0000-0000-00009C010000}"/>
    <cellStyle name="Comma 2 10 2 5" xfId="409" xr:uid="{00000000-0005-0000-0000-00009D010000}"/>
    <cellStyle name="Comma 2 10 3" xfId="410" xr:uid="{00000000-0005-0000-0000-00009E010000}"/>
    <cellStyle name="Comma 2 10 4" xfId="411" xr:uid="{00000000-0005-0000-0000-00009F010000}"/>
    <cellStyle name="Comma 2 10 5" xfId="412" xr:uid="{00000000-0005-0000-0000-0000A0010000}"/>
    <cellStyle name="Comma 2 11" xfId="413" xr:uid="{00000000-0005-0000-0000-0000A1010000}"/>
    <cellStyle name="Comma 2 12" xfId="414" xr:uid="{00000000-0005-0000-0000-0000A2010000}"/>
    <cellStyle name="Comma 2 13" xfId="415" xr:uid="{00000000-0005-0000-0000-0000A3010000}"/>
    <cellStyle name="Comma 2 14" xfId="416" xr:uid="{00000000-0005-0000-0000-0000A4010000}"/>
    <cellStyle name="Comma 2 15" xfId="417" xr:uid="{00000000-0005-0000-0000-0000A5010000}"/>
    <cellStyle name="Comma 2 16" xfId="418" xr:uid="{00000000-0005-0000-0000-0000A6010000}"/>
    <cellStyle name="Comma 2 17" xfId="419" xr:uid="{00000000-0005-0000-0000-0000A7010000}"/>
    <cellStyle name="Comma 2 18" xfId="420" xr:uid="{00000000-0005-0000-0000-0000A8010000}"/>
    <cellStyle name="Comma 2 18 2" xfId="421" xr:uid="{00000000-0005-0000-0000-0000A9010000}"/>
    <cellStyle name="Comma 2 18 3" xfId="422" xr:uid="{00000000-0005-0000-0000-0000AA010000}"/>
    <cellStyle name="Comma 2 18 4" xfId="423" xr:uid="{00000000-0005-0000-0000-0000AB010000}"/>
    <cellStyle name="Comma 2 18 5" xfId="424" xr:uid="{00000000-0005-0000-0000-0000AC010000}"/>
    <cellStyle name="Comma 2 19" xfId="425" xr:uid="{00000000-0005-0000-0000-0000AD010000}"/>
    <cellStyle name="Comma 2 2" xfId="426" xr:uid="{00000000-0005-0000-0000-0000AE010000}"/>
    <cellStyle name="Comma 2 2 2" xfId="427" xr:uid="{00000000-0005-0000-0000-0000AF010000}"/>
    <cellStyle name="Comma 2 2 2 2" xfId="428" xr:uid="{00000000-0005-0000-0000-0000B0010000}"/>
    <cellStyle name="Comma 2 2 2 2 2" xfId="429" xr:uid="{00000000-0005-0000-0000-0000B1010000}"/>
    <cellStyle name="Comma 2 2 2 2 2 2" xfId="430" xr:uid="{00000000-0005-0000-0000-0000B2010000}"/>
    <cellStyle name="Comma 2 2 2 2 2 2 2" xfId="431" xr:uid="{00000000-0005-0000-0000-0000B3010000}"/>
    <cellStyle name="Comma 2 2 2 2 3" xfId="432" xr:uid="{00000000-0005-0000-0000-0000B4010000}"/>
    <cellStyle name="Comma 2 2 2 2 4" xfId="433" xr:uid="{00000000-0005-0000-0000-0000B5010000}"/>
    <cellStyle name="Comma 2 2 2 3" xfId="434" xr:uid="{00000000-0005-0000-0000-0000B6010000}"/>
    <cellStyle name="Comma 2 2 2 3 2" xfId="435" xr:uid="{00000000-0005-0000-0000-0000B7010000}"/>
    <cellStyle name="Comma 2 2 2 4" xfId="436" xr:uid="{00000000-0005-0000-0000-0000B8010000}"/>
    <cellStyle name="Comma 2 2 2 4 2" xfId="437" xr:uid="{00000000-0005-0000-0000-0000B9010000}"/>
    <cellStyle name="Comma 2 2 3" xfId="438" xr:uid="{00000000-0005-0000-0000-0000BA010000}"/>
    <cellStyle name="Comma 2 2 4" xfId="439" xr:uid="{00000000-0005-0000-0000-0000BB010000}"/>
    <cellStyle name="Comma 2 2 5" xfId="440" xr:uid="{00000000-0005-0000-0000-0000BC010000}"/>
    <cellStyle name="Comma 2 2 6" xfId="441" xr:uid="{00000000-0005-0000-0000-0000BD010000}"/>
    <cellStyle name="Comma 2 20" xfId="442" xr:uid="{00000000-0005-0000-0000-0000BE010000}"/>
    <cellStyle name="Comma 2 21" xfId="443" xr:uid="{00000000-0005-0000-0000-0000BF010000}"/>
    <cellStyle name="Comma 2 3" xfId="444" xr:uid="{00000000-0005-0000-0000-0000C0010000}"/>
    <cellStyle name="Comma 2 3 10" xfId="445" xr:uid="{00000000-0005-0000-0000-0000C1010000}"/>
    <cellStyle name="Comma 2 3 11" xfId="446" xr:uid="{00000000-0005-0000-0000-0000C2010000}"/>
    <cellStyle name="Comma 2 3 12" xfId="447" xr:uid="{00000000-0005-0000-0000-0000C3010000}"/>
    <cellStyle name="Comma 2 3 13" xfId="448" xr:uid="{00000000-0005-0000-0000-0000C4010000}"/>
    <cellStyle name="Comma 2 3 14" xfId="449" xr:uid="{00000000-0005-0000-0000-0000C5010000}"/>
    <cellStyle name="Comma 2 3 15" xfId="450" xr:uid="{00000000-0005-0000-0000-0000C6010000}"/>
    <cellStyle name="Comma 2 3 16" xfId="451" xr:uid="{00000000-0005-0000-0000-0000C7010000}"/>
    <cellStyle name="Comma 2 3 17" xfId="452" xr:uid="{00000000-0005-0000-0000-0000C8010000}"/>
    <cellStyle name="Comma 2 3 2" xfId="453" xr:uid="{00000000-0005-0000-0000-0000C9010000}"/>
    <cellStyle name="Comma 2 3 2 10" xfId="454" xr:uid="{00000000-0005-0000-0000-0000CA010000}"/>
    <cellStyle name="Comma 2 3 2 11" xfId="455" xr:uid="{00000000-0005-0000-0000-0000CB010000}"/>
    <cellStyle name="Comma 2 3 2 12" xfId="456" xr:uid="{00000000-0005-0000-0000-0000CC010000}"/>
    <cellStyle name="Comma 2 3 2 13" xfId="457" xr:uid="{00000000-0005-0000-0000-0000CD010000}"/>
    <cellStyle name="Comma 2 3 2 14" xfId="458" xr:uid="{00000000-0005-0000-0000-0000CE010000}"/>
    <cellStyle name="Comma 2 3 2 15" xfId="459" xr:uid="{00000000-0005-0000-0000-0000CF010000}"/>
    <cellStyle name="Comma 2 3 2 16" xfId="460" xr:uid="{00000000-0005-0000-0000-0000D0010000}"/>
    <cellStyle name="Comma 2 3 2 17" xfId="461" xr:uid="{00000000-0005-0000-0000-0000D1010000}"/>
    <cellStyle name="Comma 2 3 2 2" xfId="462" xr:uid="{00000000-0005-0000-0000-0000D2010000}"/>
    <cellStyle name="Comma 2 3 2 2 10" xfId="463" xr:uid="{00000000-0005-0000-0000-0000D3010000}"/>
    <cellStyle name="Comma 2 3 2 2 11" xfId="464" xr:uid="{00000000-0005-0000-0000-0000D4010000}"/>
    <cellStyle name="Comma 2 3 2 2 12" xfId="465" xr:uid="{00000000-0005-0000-0000-0000D5010000}"/>
    <cellStyle name="Comma 2 3 2 2 13" xfId="466" xr:uid="{00000000-0005-0000-0000-0000D6010000}"/>
    <cellStyle name="Comma 2 3 2 2 14" xfId="467" xr:uid="{00000000-0005-0000-0000-0000D7010000}"/>
    <cellStyle name="Comma 2 3 2 2 2" xfId="468" xr:uid="{00000000-0005-0000-0000-0000D8010000}"/>
    <cellStyle name="Comma 2 3 2 2 2 2" xfId="469" xr:uid="{00000000-0005-0000-0000-0000D9010000}"/>
    <cellStyle name="Comma 2 3 2 2 2 2 2" xfId="470" xr:uid="{00000000-0005-0000-0000-0000DA010000}"/>
    <cellStyle name="Comma 2 3 2 2 2 2 3" xfId="471" xr:uid="{00000000-0005-0000-0000-0000DB010000}"/>
    <cellStyle name="Comma 2 3 2 2 2 2 4" xfId="472" xr:uid="{00000000-0005-0000-0000-0000DC010000}"/>
    <cellStyle name="Comma 2 3 2 2 2 2 5" xfId="473" xr:uid="{00000000-0005-0000-0000-0000DD010000}"/>
    <cellStyle name="Comma 2 3 2 2 2 3" xfId="474" xr:uid="{00000000-0005-0000-0000-0000DE010000}"/>
    <cellStyle name="Comma 2 3 2 2 2 4" xfId="475" xr:uid="{00000000-0005-0000-0000-0000DF010000}"/>
    <cellStyle name="Comma 2 3 2 2 2 5" xfId="476" xr:uid="{00000000-0005-0000-0000-0000E0010000}"/>
    <cellStyle name="Comma 2 3 2 2 3" xfId="477" xr:uid="{00000000-0005-0000-0000-0000E1010000}"/>
    <cellStyle name="Comma 2 3 2 2 4" xfId="478" xr:uid="{00000000-0005-0000-0000-0000E2010000}"/>
    <cellStyle name="Comma 2 3 2 2 5" xfId="479" xr:uid="{00000000-0005-0000-0000-0000E3010000}"/>
    <cellStyle name="Comma 2 3 2 2 6" xfId="480" xr:uid="{00000000-0005-0000-0000-0000E4010000}"/>
    <cellStyle name="Comma 2 3 2 2 7" xfId="481" xr:uid="{00000000-0005-0000-0000-0000E5010000}"/>
    <cellStyle name="Comma 2 3 2 2 8" xfId="482" xr:uid="{00000000-0005-0000-0000-0000E6010000}"/>
    <cellStyle name="Comma 2 3 2 2 9" xfId="483" xr:uid="{00000000-0005-0000-0000-0000E7010000}"/>
    <cellStyle name="Comma 2 3 2 2_Schedule CMA" xfId="484" xr:uid="{00000000-0005-0000-0000-0000E8010000}"/>
    <cellStyle name="Comma 2 3 2 3" xfId="485" xr:uid="{00000000-0005-0000-0000-0000E9010000}"/>
    <cellStyle name="Comma 2 3 2 4" xfId="486" xr:uid="{00000000-0005-0000-0000-0000EA010000}"/>
    <cellStyle name="Comma 2 3 2 5" xfId="487" xr:uid="{00000000-0005-0000-0000-0000EB010000}"/>
    <cellStyle name="Comma 2 3 2 6" xfId="488" xr:uid="{00000000-0005-0000-0000-0000EC010000}"/>
    <cellStyle name="Comma 2 3 2 6 2" xfId="489" xr:uid="{00000000-0005-0000-0000-0000ED010000}"/>
    <cellStyle name="Comma 2 3 2 6 2 2" xfId="490" xr:uid="{00000000-0005-0000-0000-0000EE010000}"/>
    <cellStyle name="Comma 2 3 2 6 2 3" xfId="491" xr:uid="{00000000-0005-0000-0000-0000EF010000}"/>
    <cellStyle name="Comma 2 3 2 6 2 4" xfId="492" xr:uid="{00000000-0005-0000-0000-0000F0010000}"/>
    <cellStyle name="Comma 2 3 2 6 2 5" xfId="493" xr:uid="{00000000-0005-0000-0000-0000F1010000}"/>
    <cellStyle name="Comma 2 3 2 6 3" xfId="494" xr:uid="{00000000-0005-0000-0000-0000F2010000}"/>
    <cellStyle name="Comma 2 3 2 6 4" xfId="495" xr:uid="{00000000-0005-0000-0000-0000F3010000}"/>
    <cellStyle name="Comma 2 3 2 6 5" xfId="496" xr:uid="{00000000-0005-0000-0000-0000F4010000}"/>
    <cellStyle name="Comma 2 3 2 7" xfId="497" xr:uid="{00000000-0005-0000-0000-0000F5010000}"/>
    <cellStyle name="Comma 2 3 2 8" xfId="498" xr:uid="{00000000-0005-0000-0000-0000F6010000}"/>
    <cellStyle name="Comma 2 3 2 9" xfId="499" xr:uid="{00000000-0005-0000-0000-0000F7010000}"/>
    <cellStyle name="Comma 2 3 2_Linked_Financials_with_TB consolidated march JVP  (2)" xfId="500" xr:uid="{00000000-0005-0000-0000-0000F8010000}"/>
    <cellStyle name="Comma 2 3 3" xfId="501" xr:uid="{00000000-0005-0000-0000-0000F9010000}"/>
    <cellStyle name="Comma 2 3 3 2" xfId="502" xr:uid="{00000000-0005-0000-0000-0000FA010000}"/>
    <cellStyle name="Comma 2 3 3 2 2" xfId="503" xr:uid="{00000000-0005-0000-0000-0000FB010000}"/>
    <cellStyle name="Comma 2 3 3 2 3" xfId="504" xr:uid="{00000000-0005-0000-0000-0000FC010000}"/>
    <cellStyle name="Comma 2 3 3 2 4" xfId="505" xr:uid="{00000000-0005-0000-0000-0000FD010000}"/>
    <cellStyle name="Comma 2 3 3 3" xfId="506" xr:uid="{00000000-0005-0000-0000-0000FE010000}"/>
    <cellStyle name="Comma 2 3 4" xfId="507" xr:uid="{00000000-0005-0000-0000-0000FF010000}"/>
    <cellStyle name="Comma 2 3 5" xfId="508" xr:uid="{00000000-0005-0000-0000-000000020000}"/>
    <cellStyle name="Comma 2 3 6" xfId="509" xr:uid="{00000000-0005-0000-0000-000001020000}"/>
    <cellStyle name="Comma 2 3 6 2" xfId="510" xr:uid="{00000000-0005-0000-0000-000002020000}"/>
    <cellStyle name="Comma 2 3 6 2 2" xfId="511" xr:uid="{00000000-0005-0000-0000-000003020000}"/>
    <cellStyle name="Comma 2 3 6 2 3" xfId="512" xr:uid="{00000000-0005-0000-0000-000004020000}"/>
    <cellStyle name="Comma 2 3 6 2 4" xfId="513" xr:uid="{00000000-0005-0000-0000-000005020000}"/>
    <cellStyle name="Comma 2 3 6 2 5" xfId="514" xr:uid="{00000000-0005-0000-0000-000006020000}"/>
    <cellStyle name="Comma 2 3 6 3" xfId="515" xr:uid="{00000000-0005-0000-0000-000007020000}"/>
    <cellStyle name="Comma 2 3 6 4" xfId="516" xr:uid="{00000000-0005-0000-0000-000008020000}"/>
    <cellStyle name="Comma 2 3 6 5" xfId="517" xr:uid="{00000000-0005-0000-0000-000009020000}"/>
    <cellStyle name="Comma 2 3 7" xfId="518" xr:uid="{00000000-0005-0000-0000-00000A020000}"/>
    <cellStyle name="Comma 2 3 8" xfId="519" xr:uid="{00000000-0005-0000-0000-00000B020000}"/>
    <cellStyle name="Comma 2 3 9" xfId="520" xr:uid="{00000000-0005-0000-0000-00000C020000}"/>
    <cellStyle name="Comma 2 3_Linked_Financials_with_TB consolidated march JVP  (2)" xfId="521" xr:uid="{00000000-0005-0000-0000-00000D020000}"/>
    <cellStyle name="Comma 2 4" xfId="522" xr:uid="{00000000-0005-0000-0000-00000E020000}"/>
    <cellStyle name="Comma 2 4 2" xfId="523" xr:uid="{00000000-0005-0000-0000-00000F020000}"/>
    <cellStyle name="Comma 2 4 3" xfId="524" xr:uid="{00000000-0005-0000-0000-000010020000}"/>
    <cellStyle name="Comma 2 4 3 2" xfId="525" xr:uid="{00000000-0005-0000-0000-000011020000}"/>
    <cellStyle name="Comma 2 4 4" xfId="526" xr:uid="{00000000-0005-0000-0000-000012020000}"/>
    <cellStyle name="Comma 2 4_Linked_Financials_with_TB consolidated march JVP  (2)" xfId="527" xr:uid="{00000000-0005-0000-0000-000013020000}"/>
    <cellStyle name="Comma 2 5" xfId="528" xr:uid="{00000000-0005-0000-0000-000014020000}"/>
    <cellStyle name="Comma 2 5 2" xfId="529" xr:uid="{00000000-0005-0000-0000-000015020000}"/>
    <cellStyle name="Comma 2 5 3" xfId="530" xr:uid="{00000000-0005-0000-0000-000016020000}"/>
    <cellStyle name="Comma 2 5 3 2" xfId="531" xr:uid="{00000000-0005-0000-0000-000017020000}"/>
    <cellStyle name="Comma 2 5 4" xfId="532" xr:uid="{00000000-0005-0000-0000-000018020000}"/>
    <cellStyle name="Comma 2 6" xfId="533" xr:uid="{00000000-0005-0000-0000-000019020000}"/>
    <cellStyle name="Comma 2 6 2" xfId="534" xr:uid="{00000000-0005-0000-0000-00001A020000}"/>
    <cellStyle name="Comma 2 6 2 2" xfId="535" xr:uid="{00000000-0005-0000-0000-00001B020000}"/>
    <cellStyle name="Comma 2 6 3" xfId="536" xr:uid="{00000000-0005-0000-0000-00001C020000}"/>
    <cellStyle name="Comma 2 7" xfId="537" xr:uid="{00000000-0005-0000-0000-00001D020000}"/>
    <cellStyle name="Comma 2 7 2" xfId="538" xr:uid="{00000000-0005-0000-0000-00001E020000}"/>
    <cellStyle name="Comma 2 7 3" xfId="539" xr:uid="{00000000-0005-0000-0000-00001F020000}"/>
    <cellStyle name="Comma 2 8" xfId="540" xr:uid="{00000000-0005-0000-0000-000020020000}"/>
    <cellStyle name="Comma 2 8 2" xfId="541" xr:uid="{00000000-0005-0000-0000-000021020000}"/>
    <cellStyle name="Comma 2 8 2 2" xfId="542" xr:uid="{00000000-0005-0000-0000-000022020000}"/>
    <cellStyle name="Comma 2 8 3" xfId="543" xr:uid="{00000000-0005-0000-0000-000023020000}"/>
    <cellStyle name="Comma 2 9" xfId="544" xr:uid="{00000000-0005-0000-0000-000024020000}"/>
    <cellStyle name="Comma 2_Book1" xfId="545" xr:uid="{00000000-0005-0000-0000-000025020000}"/>
    <cellStyle name="Comma 20" xfId="546" xr:uid="{00000000-0005-0000-0000-000026020000}"/>
    <cellStyle name="Comma 20 2" xfId="547" xr:uid="{00000000-0005-0000-0000-000027020000}"/>
    <cellStyle name="Comma 20 2 2" xfId="548" xr:uid="{00000000-0005-0000-0000-000028020000}"/>
    <cellStyle name="Comma 20 2 3" xfId="549" xr:uid="{00000000-0005-0000-0000-000029020000}"/>
    <cellStyle name="Comma 20 3" xfId="550" xr:uid="{00000000-0005-0000-0000-00002A020000}"/>
    <cellStyle name="Comma 20 3 10" xfId="551" xr:uid="{00000000-0005-0000-0000-00002B020000}"/>
    <cellStyle name="Comma 20 3 11" xfId="552" xr:uid="{00000000-0005-0000-0000-00002C020000}"/>
    <cellStyle name="Comma 20 3 12" xfId="553" xr:uid="{00000000-0005-0000-0000-00002D020000}"/>
    <cellStyle name="Comma 20 3 13" xfId="554" xr:uid="{00000000-0005-0000-0000-00002E020000}"/>
    <cellStyle name="Comma 20 3 2" xfId="555" xr:uid="{00000000-0005-0000-0000-00002F020000}"/>
    <cellStyle name="Comma 20 3 2 2" xfId="556" xr:uid="{00000000-0005-0000-0000-000030020000}"/>
    <cellStyle name="Comma 20 3 2 3" xfId="557" xr:uid="{00000000-0005-0000-0000-000031020000}"/>
    <cellStyle name="Comma 20 3 2 4" xfId="558" xr:uid="{00000000-0005-0000-0000-000032020000}"/>
    <cellStyle name="Comma 20 3 2 5" xfId="559" xr:uid="{00000000-0005-0000-0000-000033020000}"/>
    <cellStyle name="Comma 20 3 3" xfId="560" xr:uid="{00000000-0005-0000-0000-000034020000}"/>
    <cellStyle name="Comma 20 3 4" xfId="561" xr:uid="{00000000-0005-0000-0000-000035020000}"/>
    <cellStyle name="Comma 20 3 5" xfId="562" xr:uid="{00000000-0005-0000-0000-000036020000}"/>
    <cellStyle name="Comma 20 3 6" xfId="563" xr:uid="{00000000-0005-0000-0000-000037020000}"/>
    <cellStyle name="Comma 20 3 7" xfId="564" xr:uid="{00000000-0005-0000-0000-000038020000}"/>
    <cellStyle name="Comma 20 3 8" xfId="565" xr:uid="{00000000-0005-0000-0000-000039020000}"/>
    <cellStyle name="Comma 20 3 9" xfId="566" xr:uid="{00000000-0005-0000-0000-00003A020000}"/>
    <cellStyle name="Comma 21" xfId="567" xr:uid="{00000000-0005-0000-0000-00003B020000}"/>
    <cellStyle name="Comma 21 2" xfId="568" xr:uid="{00000000-0005-0000-0000-00003C020000}"/>
    <cellStyle name="Comma 21 2 10" xfId="569" xr:uid="{00000000-0005-0000-0000-00003D020000}"/>
    <cellStyle name="Comma 21 2 11" xfId="570" xr:uid="{00000000-0005-0000-0000-00003E020000}"/>
    <cellStyle name="Comma 21 2 12" xfId="571" xr:uid="{00000000-0005-0000-0000-00003F020000}"/>
    <cellStyle name="Comma 21 2 13" xfId="572" xr:uid="{00000000-0005-0000-0000-000040020000}"/>
    <cellStyle name="Comma 21 2 2" xfId="573" xr:uid="{00000000-0005-0000-0000-000041020000}"/>
    <cellStyle name="Comma 21 2 2 2" xfId="574" xr:uid="{00000000-0005-0000-0000-000042020000}"/>
    <cellStyle name="Comma 21 2 2 3" xfId="575" xr:uid="{00000000-0005-0000-0000-000043020000}"/>
    <cellStyle name="Comma 21 2 2 4" xfId="576" xr:uid="{00000000-0005-0000-0000-000044020000}"/>
    <cellStyle name="Comma 21 2 2 5" xfId="577" xr:uid="{00000000-0005-0000-0000-000045020000}"/>
    <cellStyle name="Comma 21 2 3" xfId="578" xr:uid="{00000000-0005-0000-0000-000046020000}"/>
    <cellStyle name="Comma 21 2 4" xfId="579" xr:uid="{00000000-0005-0000-0000-000047020000}"/>
    <cellStyle name="Comma 21 2 5" xfId="580" xr:uid="{00000000-0005-0000-0000-000048020000}"/>
    <cellStyle name="Comma 21 2 6" xfId="581" xr:uid="{00000000-0005-0000-0000-000049020000}"/>
    <cellStyle name="Comma 21 2 7" xfId="582" xr:uid="{00000000-0005-0000-0000-00004A020000}"/>
    <cellStyle name="Comma 21 2 8" xfId="583" xr:uid="{00000000-0005-0000-0000-00004B020000}"/>
    <cellStyle name="Comma 21 2 9" xfId="584" xr:uid="{00000000-0005-0000-0000-00004C020000}"/>
    <cellStyle name="Comma 22" xfId="585" xr:uid="{00000000-0005-0000-0000-00004D020000}"/>
    <cellStyle name="Comma 22 10" xfId="586" xr:uid="{00000000-0005-0000-0000-00004E020000}"/>
    <cellStyle name="Comma 22 11" xfId="587" xr:uid="{00000000-0005-0000-0000-00004F020000}"/>
    <cellStyle name="Comma 22 12" xfId="588" xr:uid="{00000000-0005-0000-0000-000050020000}"/>
    <cellStyle name="Comma 22 13" xfId="589" xr:uid="{00000000-0005-0000-0000-000051020000}"/>
    <cellStyle name="Comma 22 2" xfId="590" xr:uid="{00000000-0005-0000-0000-000052020000}"/>
    <cellStyle name="Comma 22 2 2" xfId="591" xr:uid="{00000000-0005-0000-0000-000053020000}"/>
    <cellStyle name="Comma 22 2 3" xfId="592" xr:uid="{00000000-0005-0000-0000-000054020000}"/>
    <cellStyle name="Comma 22 2 4" xfId="593" xr:uid="{00000000-0005-0000-0000-000055020000}"/>
    <cellStyle name="Comma 22 2 5" xfId="594" xr:uid="{00000000-0005-0000-0000-000056020000}"/>
    <cellStyle name="Comma 22 3" xfId="595" xr:uid="{00000000-0005-0000-0000-000057020000}"/>
    <cellStyle name="Comma 22 4" xfId="596" xr:uid="{00000000-0005-0000-0000-000058020000}"/>
    <cellStyle name="Comma 22 5" xfId="597" xr:uid="{00000000-0005-0000-0000-000059020000}"/>
    <cellStyle name="Comma 22 6" xfId="598" xr:uid="{00000000-0005-0000-0000-00005A020000}"/>
    <cellStyle name="Comma 22 7" xfId="599" xr:uid="{00000000-0005-0000-0000-00005B020000}"/>
    <cellStyle name="Comma 22 8" xfId="600" xr:uid="{00000000-0005-0000-0000-00005C020000}"/>
    <cellStyle name="Comma 22 9" xfId="601" xr:uid="{00000000-0005-0000-0000-00005D020000}"/>
    <cellStyle name="Comma 23" xfId="602" xr:uid="{00000000-0005-0000-0000-00005E020000}"/>
    <cellStyle name="Comma 24" xfId="603" xr:uid="{00000000-0005-0000-0000-00005F020000}"/>
    <cellStyle name="Comma 24 10" xfId="604" xr:uid="{00000000-0005-0000-0000-000060020000}"/>
    <cellStyle name="Comma 24 11" xfId="605" xr:uid="{00000000-0005-0000-0000-000061020000}"/>
    <cellStyle name="Comma 24 12" xfId="606" xr:uid="{00000000-0005-0000-0000-000062020000}"/>
    <cellStyle name="Comma 24 13" xfId="607" xr:uid="{00000000-0005-0000-0000-000063020000}"/>
    <cellStyle name="Comma 24 2" xfId="608" xr:uid="{00000000-0005-0000-0000-000064020000}"/>
    <cellStyle name="Comma 24 2 2" xfId="609" xr:uid="{00000000-0005-0000-0000-000065020000}"/>
    <cellStyle name="Comma 24 2 3" xfId="610" xr:uid="{00000000-0005-0000-0000-000066020000}"/>
    <cellStyle name="Comma 24 2 4" xfId="611" xr:uid="{00000000-0005-0000-0000-000067020000}"/>
    <cellStyle name="Comma 24 2 5" xfId="612" xr:uid="{00000000-0005-0000-0000-000068020000}"/>
    <cellStyle name="Comma 24 3" xfId="613" xr:uid="{00000000-0005-0000-0000-000069020000}"/>
    <cellStyle name="Comma 24 4" xfId="614" xr:uid="{00000000-0005-0000-0000-00006A020000}"/>
    <cellStyle name="Comma 24 5" xfId="615" xr:uid="{00000000-0005-0000-0000-00006B020000}"/>
    <cellStyle name="Comma 24 6" xfId="616" xr:uid="{00000000-0005-0000-0000-00006C020000}"/>
    <cellStyle name="Comma 24 7" xfId="617" xr:uid="{00000000-0005-0000-0000-00006D020000}"/>
    <cellStyle name="Comma 24 8" xfId="618" xr:uid="{00000000-0005-0000-0000-00006E020000}"/>
    <cellStyle name="Comma 24 9" xfId="619" xr:uid="{00000000-0005-0000-0000-00006F020000}"/>
    <cellStyle name="Comma 25" xfId="620" xr:uid="{00000000-0005-0000-0000-000070020000}"/>
    <cellStyle name="Comma 25 10" xfId="621" xr:uid="{00000000-0005-0000-0000-000071020000}"/>
    <cellStyle name="Comma 25 11" xfId="622" xr:uid="{00000000-0005-0000-0000-000072020000}"/>
    <cellStyle name="Comma 25 12" xfId="623" xr:uid="{00000000-0005-0000-0000-000073020000}"/>
    <cellStyle name="Comma 25 13" xfId="624" xr:uid="{00000000-0005-0000-0000-000074020000}"/>
    <cellStyle name="Comma 25 2" xfId="625" xr:uid="{00000000-0005-0000-0000-000075020000}"/>
    <cellStyle name="Comma 25 2 2" xfId="626" xr:uid="{00000000-0005-0000-0000-000076020000}"/>
    <cellStyle name="Comma 25 2 3" xfId="627" xr:uid="{00000000-0005-0000-0000-000077020000}"/>
    <cellStyle name="Comma 25 2 4" xfId="628" xr:uid="{00000000-0005-0000-0000-000078020000}"/>
    <cellStyle name="Comma 25 2 5" xfId="629" xr:uid="{00000000-0005-0000-0000-000079020000}"/>
    <cellStyle name="Comma 25 3" xfId="630" xr:uid="{00000000-0005-0000-0000-00007A020000}"/>
    <cellStyle name="Comma 25 4" xfId="631" xr:uid="{00000000-0005-0000-0000-00007B020000}"/>
    <cellStyle name="Comma 25 5" xfId="632" xr:uid="{00000000-0005-0000-0000-00007C020000}"/>
    <cellStyle name="Comma 25 6" xfId="633" xr:uid="{00000000-0005-0000-0000-00007D020000}"/>
    <cellStyle name="Comma 25 7" xfId="634" xr:uid="{00000000-0005-0000-0000-00007E020000}"/>
    <cellStyle name="Comma 25 8" xfId="635" xr:uid="{00000000-0005-0000-0000-00007F020000}"/>
    <cellStyle name="Comma 25 9" xfId="636" xr:uid="{00000000-0005-0000-0000-000080020000}"/>
    <cellStyle name="Comma 26" xfId="637" xr:uid="{00000000-0005-0000-0000-000081020000}"/>
    <cellStyle name="Comma 26 2" xfId="638" xr:uid="{00000000-0005-0000-0000-000082020000}"/>
    <cellStyle name="Comma 27" xfId="639" xr:uid="{00000000-0005-0000-0000-000083020000}"/>
    <cellStyle name="Comma 27 2" xfId="640" xr:uid="{00000000-0005-0000-0000-000084020000}"/>
    <cellStyle name="Comma 27 3" xfId="641" xr:uid="{00000000-0005-0000-0000-000085020000}"/>
    <cellStyle name="Comma 27 4" xfId="642" xr:uid="{00000000-0005-0000-0000-000086020000}"/>
    <cellStyle name="Comma 27 5" xfId="643" xr:uid="{00000000-0005-0000-0000-000087020000}"/>
    <cellStyle name="Comma 28" xfId="644" xr:uid="{00000000-0005-0000-0000-000088020000}"/>
    <cellStyle name="Comma 3" xfId="645" xr:uid="{00000000-0005-0000-0000-000089020000}"/>
    <cellStyle name="Comma 3 10" xfId="646" xr:uid="{00000000-0005-0000-0000-00008A020000}"/>
    <cellStyle name="Comma 3 11" xfId="647" xr:uid="{00000000-0005-0000-0000-00008B020000}"/>
    <cellStyle name="Comma 3 12" xfId="648" xr:uid="{00000000-0005-0000-0000-00008C020000}"/>
    <cellStyle name="Comma 3 13" xfId="649" xr:uid="{00000000-0005-0000-0000-00008D020000}"/>
    <cellStyle name="Comma 3 14" xfId="650" xr:uid="{00000000-0005-0000-0000-00008E020000}"/>
    <cellStyle name="Comma 3 15" xfId="651" xr:uid="{00000000-0005-0000-0000-00008F020000}"/>
    <cellStyle name="Comma 3 16" xfId="652" xr:uid="{00000000-0005-0000-0000-000090020000}"/>
    <cellStyle name="Comma 3 17" xfId="653" xr:uid="{00000000-0005-0000-0000-000091020000}"/>
    <cellStyle name="Comma 3 18" xfId="654" xr:uid="{00000000-0005-0000-0000-000092020000}"/>
    <cellStyle name="Comma 3 2" xfId="655" xr:uid="{00000000-0005-0000-0000-000093020000}"/>
    <cellStyle name="Comma 3 2 10" xfId="656" xr:uid="{00000000-0005-0000-0000-000094020000}"/>
    <cellStyle name="Comma 3 2 11" xfId="657" xr:uid="{00000000-0005-0000-0000-000095020000}"/>
    <cellStyle name="Comma 3 2 12" xfId="658" xr:uid="{00000000-0005-0000-0000-000096020000}"/>
    <cellStyle name="Comma 3 2 13" xfId="659" xr:uid="{00000000-0005-0000-0000-000097020000}"/>
    <cellStyle name="Comma 3 2 14" xfId="660" xr:uid="{00000000-0005-0000-0000-000098020000}"/>
    <cellStyle name="Comma 3 2 15" xfId="661" xr:uid="{00000000-0005-0000-0000-000099020000}"/>
    <cellStyle name="Comma 3 2 2" xfId="662" xr:uid="{00000000-0005-0000-0000-00009A020000}"/>
    <cellStyle name="Comma 3 2 2 2" xfId="663" xr:uid="{00000000-0005-0000-0000-00009B020000}"/>
    <cellStyle name="Comma 3 2 2 3" xfId="664" xr:uid="{00000000-0005-0000-0000-00009C020000}"/>
    <cellStyle name="Comma 3 2 2 4" xfId="665" xr:uid="{00000000-0005-0000-0000-00009D020000}"/>
    <cellStyle name="Comma 3 2 2 5" xfId="666" xr:uid="{00000000-0005-0000-0000-00009E020000}"/>
    <cellStyle name="Comma 3 2 3" xfId="667" xr:uid="{00000000-0005-0000-0000-00009F020000}"/>
    <cellStyle name="Comma 3 2 3 2" xfId="668" xr:uid="{00000000-0005-0000-0000-0000A0020000}"/>
    <cellStyle name="Comma 3 2 3 3" xfId="669" xr:uid="{00000000-0005-0000-0000-0000A1020000}"/>
    <cellStyle name="Comma 3 2 3 4" xfId="670" xr:uid="{00000000-0005-0000-0000-0000A2020000}"/>
    <cellStyle name="Comma 3 2 3 5" xfId="671" xr:uid="{00000000-0005-0000-0000-0000A3020000}"/>
    <cellStyle name="Comma 3 2 4" xfId="672" xr:uid="{00000000-0005-0000-0000-0000A4020000}"/>
    <cellStyle name="Comma 3 2 4 2" xfId="673" xr:uid="{00000000-0005-0000-0000-0000A5020000}"/>
    <cellStyle name="Comma 3 2 4 3" xfId="674" xr:uid="{00000000-0005-0000-0000-0000A6020000}"/>
    <cellStyle name="Comma 3 2 4 4" xfId="675" xr:uid="{00000000-0005-0000-0000-0000A7020000}"/>
    <cellStyle name="Comma 3 2 4 5" xfId="676" xr:uid="{00000000-0005-0000-0000-0000A8020000}"/>
    <cellStyle name="Comma 3 2 5" xfId="677" xr:uid="{00000000-0005-0000-0000-0000A9020000}"/>
    <cellStyle name="Comma 3 2 6" xfId="678" xr:uid="{00000000-0005-0000-0000-0000AA020000}"/>
    <cellStyle name="Comma 3 2 7" xfId="679" xr:uid="{00000000-0005-0000-0000-0000AB020000}"/>
    <cellStyle name="Comma 3 2 8" xfId="680" xr:uid="{00000000-0005-0000-0000-0000AC020000}"/>
    <cellStyle name="Comma 3 2 9" xfId="681" xr:uid="{00000000-0005-0000-0000-0000AD020000}"/>
    <cellStyle name="Comma 3 3" xfId="682" xr:uid="{00000000-0005-0000-0000-0000AE020000}"/>
    <cellStyle name="Comma 3 4" xfId="683" xr:uid="{00000000-0005-0000-0000-0000AF020000}"/>
    <cellStyle name="Comma 3 4 2" xfId="684" xr:uid="{00000000-0005-0000-0000-0000B0020000}"/>
    <cellStyle name="Comma 3 4 3" xfId="685" xr:uid="{00000000-0005-0000-0000-0000B1020000}"/>
    <cellStyle name="Comma 3 4 4" xfId="686" xr:uid="{00000000-0005-0000-0000-0000B2020000}"/>
    <cellStyle name="Comma 3 4 5" xfId="687" xr:uid="{00000000-0005-0000-0000-0000B3020000}"/>
    <cellStyle name="Comma 3 5" xfId="688" xr:uid="{00000000-0005-0000-0000-0000B4020000}"/>
    <cellStyle name="Comma 3 6" xfId="689" xr:uid="{00000000-0005-0000-0000-0000B5020000}"/>
    <cellStyle name="Comma 3 7" xfId="690" xr:uid="{00000000-0005-0000-0000-0000B6020000}"/>
    <cellStyle name="Comma 3 7 2" xfId="691" xr:uid="{00000000-0005-0000-0000-0000B7020000}"/>
    <cellStyle name="Comma 3 7 3" xfId="692" xr:uid="{00000000-0005-0000-0000-0000B8020000}"/>
    <cellStyle name="Comma 3 7 4" xfId="693" xr:uid="{00000000-0005-0000-0000-0000B9020000}"/>
    <cellStyle name="Comma 3 7 5" xfId="694" xr:uid="{00000000-0005-0000-0000-0000BA020000}"/>
    <cellStyle name="Comma 3 8" xfId="695" xr:uid="{00000000-0005-0000-0000-0000BB020000}"/>
    <cellStyle name="Comma 3 9" xfId="696" xr:uid="{00000000-0005-0000-0000-0000BC020000}"/>
    <cellStyle name="Comma 3_Linked_Financials_with_TB consolidated march JVP  (2)" xfId="697" xr:uid="{00000000-0005-0000-0000-0000BD020000}"/>
    <cellStyle name="Comma 35" xfId="698" xr:uid="{00000000-0005-0000-0000-0000BE020000}"/>
    <cellStyle name="Comma 36" xfId="699" xr:uid="{00000000-0005-0000-0000-0000BF020000}"/>
    <cellStyle name="Comma 37" xfId="700" xr:uid="{00000000-0005-0000-0000-0000C0020000}"/>
    <cellStyle name="Comma 38" xfId="701" xr:uid="{00000000-0005-0000-0000-0000C1020000}"/>
    <cellStyle name="Comma 4" xfId="702" xr:uid="{00000000-0005-0000-0000-0000C2020000}"/>
    <cellStyle name="Comma 4 2" xfId="703" xr:uid="{00000000-0005-0000-0000-0000C3020000}"/>
    <cellStyle name="Comma 4 2 2" xfId="704" xr:uid="{00000000-0005-0000-0000-0000C4020000}"/>
    <cellStyle name="Comma 4 2 2 2" xfId="705" xr:uid="{00000000-0005-0000-0000-0000C5020000}"/>
    <cellStyle name="Comma 4 2 2 3" xfId="706" xr:uid="{00000000-0005-0000-0000-0000C6020000}"/>
    <cellStyle name="Comma 4 2 2 4" xfId="707" xr:uid="{00000000-0005-0000-0000-0000C7020000}"/>
    <cellStyle name="Comma 4 3" xfId="708" xr:uid="{00000000-0005-0000-0000-0000C8020000}"/>
    <cellStyle name="Comma 4 3 10" xfId="709" xr:uid="{00000000-0005-0000-0000-0000C9020000}"/>
    <cellStyle name="Comma 4 3 11" xfId="710" xr:uid="{00000000-0005-0000-0000-0000CA020000}"/>
    <cellStyle name="Comma 4 3 12" xfId="711" xr:uid="{00000000-0005-0000-0000-0000CB020000}"/>
    <cellStyle name="Comma 4 3 13" xfId="712" xr:uid="{00000000-0005-0000-0000-0000CC020000}"/>
    <cellStyle name="Comma 4 3 14" xfId="713" xr:uid="{00000000-0005-0000-0000-0000CD020000}"/>
    <cellStyle name="Comma 4 3 2" xfId="714" xr:uid="{00000000-0005-0000-0000-0000CE020000}"/>
    <cellStyle name="Comma 4 3 2 2" xfId="715" xr:uid="{00000000-0005-0000-0000-0000CF020000}"/>
    <cellStyle name="Comma 4 3 2 2 2" xfId="716" xr:uid="{00000000-0005-0000-0000-0000D0020000}"/>
    <cellStyle name="Comma 4 3 2 2 3" xfId="717" xr:uid="{00000000-0005-0000-0000-0000D1020000}"/>
    <cellStyle name="Comma 4 3 2 2 4" xfId="718" xr:uid="{00000000-0005-0000-0000-0000D2020000}"/>
    <cellStyle name="Comma 4 3 2 2 5" xfId="719" xr:uid="{00000000-0005-0000-0000-0000D3020000}"/>
    <cellStyle name="Comma 4 3 2 3" xfId="720" xr:uid="{00000000-0005-0000-0000-0000D4020000}"/>
    <cellStyle name="Comma 4 3 2 4" xfId="721" xr:uid="{00000000-0005-0000-0000-0000D5020000}"/>
    <cellStyle name="Comma 4 3 2 5" xfId="722" xr:uid="{00000000-0005-0000-0000-0000D6020000}"/>
    <cellStyle name="Comma 4 3 3" xfId="723" xr:uid="{00000000-0005-0000-0000-0000D7020000}"/>
    <cellStyle name="Comma 4 3 4" xfId="724" xr:uid="{00000000-0005-0000-0000-0000D8020000}"/>
    <cellStyle name="Comma 4 3 5" xfId="725" xr:uid="{00000000-0005-0000-0000-0000D9020000}"/>
    <cellStyle name="Comma 4 3 6" xfId="726" xr:uid="{00000000-0005-0000-0000-0000DA020000}"/>
    <cellStyle name="Comma 4 3 7" xfId="727" xr:uid="{00000000-0005-0000-0000-0000DB020000}"/>
    <cellStyle name="Comma 4 3 8" xfId="728" xr:uid="{00000000-0005-0000-0000-0000DC020000}"/>
    <cellStyle name="Comma 4 3 9" xfId="729" xr:uid="{00000000-0005-0000-0000-0000DD020000}"/>
    <cellStyle name="Comma 4 3_Schedule CMA" xfId="730" xr:uid="{00000000-0005-0000-0000-0000DE020000}"/>
    <cellStyle name="Comma 5" xfId="731" xr:uid="{00000000-0005-0000-0000-0000DF020000}"/>
    <cellStyle name="Comma 5 2" xfId="732" xr:uid="{00000000-0005-0000-0000-0000E0020000}"/>
    <cellStyle name="Comma 5 2 2" xfId="733" xr:uid="{00000000-0005-0000-0000-0000E1020000}"/>
    <cellStyle name="Comma 5 2 2 2" xfId="734" xr:uid="{00000000-0005-0000-0000-0000E2020000}"/>
    <cellStyle name="Comma 5 2 2 3" xfId="735" xr:uid="{00000000-0005-0000-0000-0000E3020000}"/>
    <cellStyle name="Comma 5 2 2 4" xfId="736" xr:uid="{00000000-0005-0000-0000-0000E4020000}"/>
    <cellStyle name="Comma 5 3" xfId="737" xr:uid="{00000000-0005-0000-0000-0000E5020000}"/>
    <cellStyle name="Comma 6" xfId="738" xr:uid="{00000000-0005-0000-0000-0000E6020000}"/>
    <cellStyle name="Comma 6 10" xfId="739" xr:uid="{00000000-0005-0000-0000-0000E7020000}"/>
    <cellStyle name="Comma 6 11" xfId="740" xr:uid="{00000000-0005-0000-0000-0000E8020000}"/>
    <cellStyle name="Comma 6 12" xfId="741" xr:uid="{00000000-0005-0000-0000-0000E9020000}"/>
    <cellStyle name="Comma 6 13" xfId="742" xr:uid="{00000000-0005-0000-0000-0000EA020000}"/>
    <cellStyle name="Comma 6 14" xfId="743" xr:uid="{00000000-0005-0000-0000-0000EB020000}"/>
    <cellStyle name="Comma 6 15" xfId="744" xr:uid="{00000000-0005-0000-0000-0000EC020000}"/>
    <cellStyle name="Comma 6 2" xfId="745" xr:uid="{00000000-0005-0000-0000-0000ED020000}"/>
    <cellStyle name="Comma 6 2 10" xfId="746" xr:uid="{00000000-0005-0000-0000-0000EE020000}"/>
    <cellStyle name="Comma 6 2 11" xfId="747" xr:uid="{00000000-0005-0000-0000-0000EF020000}"/>
    <cellStyle name="Comma 6 2 12" xfId="748" xr:uid="{00000000-0005-0000-0000-0000F0020000}"/>
    <cellStyle name="Comma 6 2 13" xfId="749" xr:uid="{00000000-0005-0000-0000-0000F1020000}"/>
    <cellStyle name="Comma 6 2 14" xfId="750" xr:uid="{00000000-0005-0000-0000-0000F2020000}"/>
    <cellStyle name="Comma 6 2 15" xfId="751" xr:uid="{00000000-0005-0000-0000-0000F3020000}"/>
    <cellStyle name="Comma 6 2 16" xfId="752" xr:uid="{00000000-0005-0000-0000-0000F4020000}"/>
    <cellStyle name="Comma 6 2 17" xfId="753" xr:uid="{00000000-0005-0000-0000-0000F5020000}"/>
    <cellStyle name="Comma 6 2 2" xfId="754" xr:uid="{00000000-0005-0000-0000-0000F6020000}"/>
    <cellStyle name="Comma 6 2 2 10" xfId="755" xr:uid="{00000000-0005-0000-0000-0000F7020000}"/>
    <cellStyle name="Comma 6 2 2 11" xfId="756" xr:uid="{00000000-0005-0000-0000-0000F8020000}"/>
    <cellStyle name="Comma 6 2 2 12" xfId="757" xr:uid="{00000000-0005-0000-0000-0000F9020000}"/>
    <cellStyle name="Comma 6 2 2 13" xfId="758" xr:uid="{00000000-0005-0000-0000-0000FA020000}"/>
    <cellStyle name="Comma 6 2 2 14" xfId="759" xr:uid="{00000000-0005-0000-0000-0000FB020000}"/>
    <cellStyle name="Comma 6 2 2 2" xfId="760" xr:uid="{00000000-0005-0000-0000-0000FC020000}"/>
    <cellStyle name="Comma 6 2 2 2 2" xfId="761" xr:uid="{00000000-0005-0000-0000-0000FD020000}"/>
    <cellStyle name="Comma 6 2 2 2 2 2" xfId="762" xr:uid="{00000000-0005-0000-0000-0000FE020000}"/>
    <cellStyle name="Comma 6 2 2 2 2 3" xfId="763" xr:uid="{00000000-0005-0000-0000-0000FF020000}"/>
    <cellStyle name="Comma 6 2 2 2 2 4" xfId="764" xr:uid="{00000000-0005-0000-0000-000000030000}"/>
    <cellStyle name="Comma 6 2 2 2 2 5" xfId="765" xr:uid="{00000000-0005-0000-0000-000001030000}"/>
    <cellStyle name="Comma 6 2 2 2 3" xfId="766" xr:uid="{00000000-0005-0000-0000-000002030000}"/>
    <cellStyle name="Comma 6 2 2 2 4" xfId="767" xr:uid="{00000000-0005-0000-0000-000003030000}"/>
    <cellStyle name="Comma 6 2 2 2 5" xfId="768" xr:uid="{00000000-0005-0000-0000-000004030000}"/>
    <cellStyle name="Comma 6 2 2 3" xfId="769" xr:uid="{00000000-0005-0000-0000-000005030000}"/>
    <cellStyle name="Comma 6 2 2 4" xfId="770" xr:uid="{00000000-0005-0000-0000-000006030000}"/>
    <cellStyle name="Comma 6 2 2 5" xfId="771" xr:uid="{00000000-0005-0000-0000-000007030000}"/>
    <cellStyle name="Comma 6 2 2 6" xfId="772" xr:uid="{00000000-0005-0000-0000-000008030000}"/>
    <cellStyle name="Comma 6 2 2 7" xfId="773" xr:uid="{00000000-0005-0000-0000-000009030000}"/>
    <cellStyle name="Comma 6 2 2 8" xfId="774" xr:uid="{00000000-0005-0000-0000-00000A030000}"/>
    <cellStyle name="Comma 6 2 2 9" xfId="775" xr:uid="{00000000-0005-0000-0000-00000B030000}"/>
    <cellStyle name="Comma 6 2 2_Schedule CMA" xfId="776" xr:uid="{00000000-0005-0000-0000-00000C030000}"/>
    <cellStyle name="Comma 6 2 3" xfId="777" xr:uid="{00000000-0005-0000-0000-00000D030000}"/>
    <cellStyle name="Comma 6 2 4" xfId="778" xr:uid="{00000000-0005-0000-0000-00000E030000}"/>
    <cellStyle name="Comma 6 2 5" xfId="779" xr:uid="{00000000-0005-0000-0000-00000F030000}"/>
    <cellStyle name="Comma 6 2 6" xfId="780" xr:uid="{00000000-0005-0000-0000-000010030000}"/>
    <cellStyle name="Comma 6 2 6 2" xfId="781" xr:uid="{00000000-0005-0000-0000-000011030000}"/>
    <cellStyle name="Comma 6 2 6 2 2" xfId="782" xr:uid="{00000000-0005-0000-0000-000012030000}"/>
    <cellStyle name="Comma 6 2 6 2 3" xfId="783" xr:uid="{00000000-0005-0000-0000-000013030000}"/>
    <cellStyle name="Comma 6 2 6 2 4" xfId="784" xr:uid="{00000000-0005-0000-0000-000014030000}"/>
    <cellStyle name="Comma 6 2 6 2 5" xfId="785" xr:uid="{00000000-0005-0000-0000-000015030000}"/>
    <cellStyle name="Comma 6 2 6 3" xfId="786" xr:uid="{00000000-0005-0000-0000-000016030000}"/>
    <cellStyle name="Comma 6 2 6 4" xfId="787" xr:uid="{00000000-0005-0000-0000-000017030000}"/>
    <cellStyle name="Comma 6 2 6 5" xfId="788" xr:uid="{00000000-0005-0000-0000-000018030000}"/>
    <cellStyle name="Comma 6 2 7" xfId="789" xr:uid="{00000000-0005-0000-0000-000019030000}"/>
    <cellStyle name="Comma 6 2 8" xfId="790" xr:uid="{00000000-0005-0000-0000-00001A030000}"/>
    <cellStyle name="Comma 6 2 9" xfId="791" xr:uid="{00000000-0005-0000-0000-00001B030000}"/>
    <cellStyle name="Comma 6 2_Schedule CMA" xfId="792" xr:uid="{00000000-0005-0000-0000-00001C030000}"/>
    <cellStyle name="Comma 6 3" xfId="793" xr:uid="{00000000-0005-0000-0000-00001D030000}"/>
    <cellStyle name="Comma 6 3 2" xfId="794" xr:uid="{00000000-0005-0000-0000-00001E030000}"/>
    <cellStyle name="Comma 6 3 2 2" xfId="795" xr:uid="{00000000-0005-0000-0000-00001F030000}"/>
    <cellStyle name="Comma 6 3 2 3" xfId="796" xr:uid="{00000000-0005-0000-0000-000020030000}"/>
    <cellStyle name="Comma 6 3 2 4" xfId="797" xr:uid="{00000000-0005-0000-0000-000021030000}"/>
    <cellStyle name="Comma 6 3 2 5" xfId="798" xr:uid="{00000000-0005-0000-0000-000022030000}"/>
    <cellStyle name="Comma 6 3 3" xfId="799" xr:uid="{00000000-0005-0000-0000-000023030000}"/>
    <cellStyle name="Comma 6 3 4" xfId="800" xr:uid="{00000000-0005-0000-0000-000024030000}"/>
    <cellStyle name="Comma 6 3 5" xfId="801" xr:uid="{00000000-0005-0000-0000-000025030000}"/>
    <cellStyle name="Comma 6 4" xfId="802" xr:uid="{00000000-0005-0000-0000-000026030000}"/>
    <cellStyle name="Comma 6 5" xfId="803" xr:uid="{00000000-0005-0000-0000-000027030000}"/>
    <cellStyle name="Comma 6 6" xfId="804" xr:uid="{00000000-0005-0000-0000-000028030000}"/>
    <cellStyle name="Comma 6 7" xfId="805" xr:uid="{00000000-0005-0000-0000-000029030000}"/>
    <cellStyle name="Comma 6 8" xfId="806" xr:uid="{00000000-0005-0000-0000-00002A030000}"/>
    <cellStyle name="Comma 6 9" xfId="807" xr:uid="{00000000-0005-0000-0000-00002B030000}"/>
    <cellStyle name="Comma 7" xfId="808" xr:uid="{00000000-0005-0000-0000-00002C030000}"/>
    <cellStyle name="Comma 7 10" xfId="809" xr:uid="{00000000-0005-0000-0000-00002D030000}"/>
    <cellStyle name="Comma 7 11" xfId="810" xr:uid="{00000000-0005-0000-0000-00002E030000}"/>
    <cellStyle name="Comma 7 12" xfId="811" xr:uid="{00000000-0005-0000-0000-00002F030000}"/>
    <cellStyle name="Comma 7 13" xfId="812" xr:uid="{00000000-0005-0000-0000-000030030000}"/>
    <cellStyle name="Comma 7 14" xfId="813" xr:uid="{00000000-0005-0000-0000-000031030000}"/>
    <cellStyle name="Comma 7 15" xfId="814" xr:uid="{00000000-0005-0000-0000-000032030000}"/>
    <cellStyle name="Comma 7 16" xfId="815" xr:uid="{00000000-0005-0000-0000-000033030000}"/>
    <cellStyle name="Comma 7 2" xfId="816" xr:uid="{00000000-0005-0000-0000-000034030000}"/>
    <cellStyle name="Comma 7 2 2" xfId="817" xr:uid="{00000000-0005-0000-0000-000035030000}"/>
    <cellStyle name="Comma 7 2 2 2" xfId="818" xr:uid="{00000000-0005-0000-0000-000036030000}"/>
    <cellStyle name="Comma 7 2 2 2 2" xfId="819" xr:uid="{00000000-0005-0000-0000-000037030000}"/>
    <cellStyle name="Comma 7 2 2 2 2 2" xfId="820" xr:uid="{00000000-0005-0000-0000-000038030000}"/>
    <cellStyle name="Comma 7 2 2 2 3" xfId="821" xr:uid="{00000000-0005-0000-0000-000039030000}"/>
    <cellStyle name="Comma 7 2 3" xfId="822" xr:uid="{00000000-0005-0000-0000-00003A030000}"/>
    <cellStyle name="Comma 7 3" xfId="823" xr:uid="{00000000-0005-0000-0000-00003B030000}"/>
    <cellStyle name="Comma 7 3 2" xfId="824" xr:uid="{00000000-0005-0000-0000-00003C030000}"/>
    <cellStyle name="Comma 7 3 2 2" xfId="825" xr:uid="{00000000-0005-0000-0000-00003D030000}"/>
    <cellStyle name="Comma 7 3 2 2 2" xfId="826" xr:uid="{00000000-0005-0000-0000-00003E030000}"/>
    <cellStyle name="Comma 7 3 3" xfId="827" xr:uid="{00000000-0005-0000-0000-00003F030000}"/>
    <cellStyle name="Comma 7 3 4" xfId="828" xr:uid="{00000000-0005-0000-0000-000040030000}"/>
    <cellStyle name="Comma 7 4" xfId="829" xr:uid="{00000000-0005-0000-0000-000041030000}"/>
    <cellStyle name="Comma 7 5" xfId="830" xr:uid="{00000000-0005-0000-0000-000042030000}"/>
    <cellStyle name="Comma 7 5 2" xfId="831" xr:uid="{00000000-0005-0000-0000-000043030000}"/>
    <cellStyle name="Comma 7 5 2 2" xfId="832" xr:uid="{00000000-0005-0000-0000-000044030000}"/>
    <cellStyle name="Comma 7 5 2 3" xfId="833" xr:uid="{00000000-0005-0000-0000-000045030000}"/>
    <cellStyle name="Comma 7 5 2 4" xfId="834" xr:uid="{00000000-0005-0000-0000-000046030000}"/>
    <cellStyle name="Comma 7 5 2 5" xfId="835" xr:uid="{00000000-0005-0000-0000-000047030000}"/>
    <cellStyle name="Comma 7 5 3" xfId="836" xr:uid="{00000000-0005-0000-0000-000048030000}"/>
    <cellStyle name="Comma 7 5 4" xfId="837" xr:uid="{00000000-0005-0000-0000-000049030000}"/>
    <cellStyle name="Comma 7 5 5" xfId="838" xr:uid="{00000000-0005-0000-0000-00004A030000}"/>
    <cellStyle name="Comma 7 6" xfId="839" xr:uid="{00000000-0005-0000-0000-00004B030000}"/>
    <cellStyle name="Comma 7 7" xfId="840" xr:uid="{00000000-0005-0000-0000-00004C030000}"/>
    <cellStyle name="Comma 7 8" xfId="841" xr:uid="{00000000-0005-0000-0000-00004D030000}"/>
    <cellStyle name="Comma 7 9" xfId="842" xr:uid="{00000000-0005-0000-0000-00004E030000}"/>
    <cellStyle name="Comma 8" xfId="843" xr:uid="{00000000-0005-0000-0000-00004F030000}"/>
    <cellStyle name="Comma 8 2" xfId="844" xr:uid="{00000000-0005-0000-0000-000050030000}"/>
    <cellStyle name="Comma 8 2 2" xfId="845" xr:uid="{00000000-0005-0000-0000-000051030000}"/>
    <cellStyle name="Comma 8 2 3" xfId="846" xr:uid="{00000000-0005-0000-0000-000052030000}"/>
    <cellStyle name="Comma 9" xfId="847" xr:uid="{00000000-0005-0000-0000-000053030000}"/>
    <cellStyle name="Comma 9 2" xfId="848" xr:uid="{00000000-0005-0000-0000-000054030000}"/>
    <cellStyle name="Comma 9 3" xfId="849" xr:uid="{00000000-0005-0000-0000-000055030000}"/>
    <cellStyle name="Comma--&lt;" xfId="850" xr:uid="{00000000-0005-0000-0000-000056030000}"/>
    <cellStyle name="Comma0" xfId="851" xr:uid="{00000000-0005-0000-0000-000057030000}"/>
    <cellStyle name="Comma0 - Style2" xfId="852" xr:uid="{00000000-0005-0000-0000-000058030000}"/>
    <cellStyle name="Copied" xfId="853" xr:uid="{00000000-0005-0000-0000-000059030000}"/>
    <cellStyle name="Curren - Style2" xfId="854" xr:uid="{00000000-0005-0000-0000-00005A030000}"/>
    <cellStyle name="Curren - Style3" xfId="855" xr:uid="{00000000-0005-0000-0000-00005B030000}"/>
    <cellStyle name="Currency (B)" xfId="856" xr:uid="{00000000-0005-0000-0000-00005C030000}"/>
    <cellStyle name="Currency [0] _laroux" xfId="857" xr:uid="{00000000-0005-0000-0000-00005D030000}"/>
    <cellStyle name="Currency [00]" xfId="858" xr:uid="{00000000-0005-0000-0000-00005E030000}"/>
    <cellStyle name="Currency &gt;[0]" xfId="859" xr:uid="{00000000-0005-0000-0000-00005F030000}"/>
    <cellStyle name="Currency 2" xfId="860" xr:uid="{00000000-0005-0000-0000-000060030000}"/>
    <cellStyle name="Currency 3" xfId="2177" xr:uid="{00000000-0005-0000-0000-000061030000}"/>
    <cellStyle name="Currency0" xfId="861" xr:uid="{00000000-0005-0000-0000-000062030000}"/>
    <cellStyle name="Custom - Style1" xfId="862" xr:uid="{00000000-0005-0000-0000-000063030000}"/>
    <cellStyle name="Custom - Style8" xfId="863" xr:uid="{00000000-0005-0000-0000-000064030000}"/>
    <cellStyle name="Data" xfId="864" xr:uid="{00000000-0005-0000-0000-000065030000}"/>
    <cellStyle name="Data   - Style2" xfId="865" xr:uid="{00000000-0005-0000-0000-000066030000}"/>
    <cellStyle name="Date" xfId="866" xr:uid="{00000000-0005-0000-0000-000067030000}"/>
    <cellStyle name="Date 2" xfId="867" xr:uid="{00000000-0005-0000-0000-000068030000}"/>
    <cellStyle name="Date Short" xfId="868" xr:uid="{00000000-0005-0000-0000-000069030000}"/>
    <cellStyle name="Date_3CD_2008-09_annexure" xfId="869" xr:uid="{00000000-0005-0000-0000-00006A030000}"/>
    <cellStyle name="Datum" xfId="870" xr:uid="{00000000-0005-0000-0000-00006B030000}"/>
    <cellStyle name="Define your own named style" xfId="2190" xr:uid="{00000000-0005-0000-0000-00006C030000}"/>
    <cellStyle name="DELTA" xfId="871" xr:uid="{00000000-0005-0000-0000-00006D030000}"/>
    <cellStyle name="Dezimal [0]_12" xfId="872" xr:uid="{00000000-0005-0000-0000-00006E030000}"/>
    <cellStyle name="Dezimal_12" xfId="873" xr:uid="{00000000-0005-0000-0000-00006F030000}"/>
    <cellStyle name="DOH" xfId="874" xr:uid="{00000000-0005-0000-0000-000070030000}"/>
    <cellStyle name="Dollar" xfId="875" xr:uid="{00000000-0005-0000-0000-000071030000}"/>
    <cellStyle name="Dollar0Decimals" xfId="876" xr:uid="{00000000-0005-0000-0000-000072030000}"/>
    <cellStyle name="Dollar2Decimals" xfId="877" xr:uid="{00000000-0005-0000-0000-000073030000}"/>
    <cellStyle name="Draw lines around data in range" xfId="2191" xr:uid="{00000000-0005-0000-0000-000074030000}"/>
    <cellStyle name="Draw shadow and lines within range" xfId="2192" xr:uid="{00000000-0005-0000-0000-000075030000}"/>
    <cellStyle name="E&amp;Y House" xfId="878" xr:uid="{00000000-0005-0000-0000-000076030000}"/>
    <cellStyle name="Enlarge title text, yellow on blue" xfId="2193" xr:uid="{00000000-0005-0000-0000-000077030000}"/>
    <cellStyle name="Enter Currency (0)" xfId="879" xr:uid="{00000000-0005-0000-0000-000078030000}"/>
    <cellStyle name="Enter Currency (2)" xfId="880" xr:uid="{00000000-0005-0000-0000-000079030000}"/>
    <cellStyle name="Enter Units (0)" xfId="881" xr:uid="{00000000-0005-0000-0000-00007A030000}"/>
    <cellStyle name="Enter Units (1)" xfId="882" xr:uid="{00000000-0005-0000-0000-00007B030000}"/>
    <cellStyle name="Enter Units (2)" xfId="883" xr:uid="{00000000-0005-0000-0000-00007C030000}"/>
    <cellStyle name="Entered" xfId="884" xr:uid="{00000000-0005-0000-0000-00007D030000}"/>
    <cellStyle name="Euro" xfId="885" xr:uid="{00000000-0005-0000-0000-00007E030000}"/>
    <cellStyle name="Explanatory Text 2" xfId="886" xr:uid="{00000000-0005-0000-0000-00007F030000}"/>
    <cellStyle name="Explanatory Text 3" xfId="887" xr:uid="{00000000-0005-0000-0000-000080030000}"/>
    <cellStyle name="Explanatory Text 4" xfId="888" xr:uid="{00000000-0005-0000-0000-000081030000}"/>
    <cellStyle name="Explanatory Text 5" xfId="889" xr:uid="{00000000-0005-0000-0000-000082030000}"/>
    <cellStyle name="Explanatory Text 6" xfId="890" xr:uid="{00000000-0005-0000-0000-000083030000}"/>
    <cellStyle name="Explanatory Text 7" xfId="891" xr:uid="{00000000-0005-0000-0000-000084030000}"/>
    <cellStyle name="F2" xfId="892" xr:uid="{00000000-0005-0000-0000-000085030000}"/>
    <cellStyle name="F3" xfId="893" xr:uid="{00000000-0005-0000-0000-000086030000}"/>
    <cellStyle name="F4" xfId="894" xr:uid="{00000000-0005-0000-0000-000087030000}"/>
    <cellStyle name="F5" xfId="895" xr:uid="{00000000-0005-0000-0000-000088030000}"/>
    <cellStyle name="F6" xfId="896" xr:uid="{00000000-0005-0000-0000-000089030000}"/>
    <cellStyle name="F7" xfId="897" xr:uid="{00000000-0005-0000-0000-00008A030000}"/>
    <cellStyle name="F8" xfId="898" xr:uid="{00000000-0005-0000-0000-00008B030000}"/>
    <cellStyle name="Fest" xfId="899" xr:uid="{00000000-0005-0000-0000-00008C030000}"/>
    <cellStyle name="Fixed" xfId="900" xr:uid="{00000000-0005-0000-0000-00008D030000}"/>
    <cellStyle name="Format a column of totals" xfId="2194" xr:uid="{00000000-0005-0000-0000-00008E030000}"/>
    <cellStyle name="Format a row of totals" xfId="2195" xr:uid="{00000000-0005-0000-0000-00008F030000}"/>
    <cellStyle name="Format text as bold, black on yellow" xfId="2196" xr:uid="{00000000-0005-0000-0000-000090030000}"/>
    <cellStyle name="Gesamt" xfId="901" xr:uid="{00000000-0005-0000-0000-000091030000}"/>
    <cellStyle name="Good 2" xfId="902" xr:uid="{00000000-0005-0000-0000-000092030000}"/>
    <cellStyle name="Good 3" xfId="903" xr:uid="{00000000-0005-0000-0000-000093030000}"/>
    <cellStyle name="Good 4" xfId="904" xr:uid="{00000000-0005-0000-0000-000094030000}"/>
    <cellStyle name="Good 5" xfId="905" xr:uid="{00000000-0005-0000-0000-000095030000}"/>
    <cellStyle name="Good 6" xfId="906" xr:uid="{00000000-0005-0000-0000-000096030000}"/>
    <cellStyle name="Good 7" xfId="907" xr:uid="{00000000-0005-0000-0000-000097030000}"/>
    <cellStyle name="Grey" xfId="908" xr:uid="{00000000-0005-0000-0000-000098030000}"/>
    <cellStyle name="Header" xfId="909" xr:uid="{00000000-0005-0000-0000-000099030000}"/>
    <cellStyle name="Header Total" xfId="910" xr:uid="{00000000-0005-0000-0000-00009A030000}"/>
    <cellStyle name="header_FA Consolidated (Apr-10 to June-10)" xfId="911" xr:uid="{00000000-0005-0000-0000-00009B030000}"/>
    <cellStyle name="Header1" xfId="912" xr:uid="{00000000-0005-0000-0000-00009C030000}"/>
    <cellStyle name="Header2" xfId="913" xr:uid="{00000000-0005-0000-0000-00009D030000}"/>
    <cellStyle name="Header2 10" xfId="914" xr:uid="{00000000-0005-0000-0000-00009E030000}"/>
    <cellStyle name="Header2 11" xfId="915" xr:uid="{00000000-0005-0000-0000-00009F030000}"/>
    <cellStyle name="Header2 12" xfId="916" xr:uid="{00000000-0005-0000-0000-0000A0030000}"/>
    <cellStyle name="Header2 2" xfId="917" xr:uid="{00000000-0005-0000-0000-0000A1030000}"/>
    <cellStyle name="Header2 3" xfId="918" xr:uid="{00000000-0005-0000-0000-0000A2030000}"/>
    <cellStyle name="Header2 4" xfId="919" xr:uid="{00000000-0005-0000-0000-0000A3030000}"/>
    <cellStyle name="Header2 5" xfId="920" xr:uid="{00000000-0005-0000-0000-0000A4030000}"/>
    <cellStyle name="Header2 6" xfId="921" xr:uid="{00000000-0005-0000-0000-0000A5030000}"/>
    <cellStyle name="Header2 7" xfId="922" xr:uid="{00000000-0005-0000-0000-0000A6030000}"/>
    <cellStyle name="Header2 8" xfId="923" xr:uid="{00000000-0005-0000-0000-0000A7030000}"/>
    <cellStyle name="Header2 9" xfId="924" xr:uid="{00000000-0005-0000-0000-0000A8030000}"/>
    <cellStyle name="Header2_Sheet1" xfId="925" xr:uid="{00000000-0005-0000-0000-0000A9030000}"/>
    <cellStyle name="Header3" xfId="926" xr:uid="{00000000-0005-0000-0000-0000AA030000}"/>
    <cellStyle name="Header4" xfId="927" xr:uid="{00000000-0005-0000-0000-0000AB030000}"/>
    <cellStyle name="Heading 1 2" xfId="928" xr:uid="{00000000-0005-0000-0000-0000AC030000}"/>
    <cellStyle name="Heading 1 3" xfId="929" xr:uid="{00000000-0005-0000-0000-0000AD030000}"/>
    <cellStyle name="Heading 1 4" xfId="930" xr:uid="{00000000-0005-0000-0000-0000AE030000}"/>
    <cellStyle name="Heading 1 5" xfId="931" xr:uid="{00000000-0005-0000-0000-0000AF030000}"/>
    <cellStyle name="Heading 1 6" xfId="932" xr:uid="{00000000-0005-0000-0000-0000B0030000}"/>
    <cellStyle name="Heading 1 7" xfId="933" xr:uid="{00000000-0005-0000-0000-0000B1030000}"/>
    <cellStyle name="Heading 2 2" xfId="934" xr:uid="{00000000-0005-0000-0000-0000B2030000}"/>
    <cellStyle name="Heading 2 3" xfId="935" xr:uid="{00000000-0005-0000-0000-0000B3030000}"/>
    <cellStyle name="Heading 2 4" xfId="936" xr:uid="{00000000-0005-0000-0000-0000B4030000}"/>
    <cellStyle name="Heading 2 5" xfId="937" xr:uid="{00000000-0005-0000-0000-0000B5030000}"/>
    <cellStyle name="Heading 2 6" xfId="938" xr:uid="{00000000-0005-0000-0000-0000B6030000}"/>
    <cellStyle name="Heading 2 7" xfId="939" xr:uid="{00000000-0005-0000-0000-0000B7030000}"/>
    <cellStyle name="Heading 3 2" xfId="940" xr:uid="{00000000-0005-0000-0000-0000B8030000}"/>
    <cellStyle name="Heading 3 3" xfId="941" xr:uid="{00000000-0005-0000-0000-0000B9030000}"/>
    <cellStyle name="Heading 3 4" xfId="942" xr:uid="{00000000-0005-0000-0000-0000BA030000}"/>
    <cellStyle name="Heading 3 5" xfId="943" xr:uid="{00000000-0005-0000-0000-0000BB030000}"/>
    <cellStyle name="Heading 3 6" xfId="944" xr:uid="{00000000-0005-0000-0000-0000BC030000}"/>
    <cellStyle name="Heading 3 7" xfId="945" xr:uid="{00000000-0005-0000-0000-0000BD030000}"/>
    <cellStyle name="Heading 4 2" xfId="946" xr:uid="{00000000-0005-0000-0000-0000BE030000}"/>
    <cellStyle name="Heading 4 3" xfId="947" xr:uid="{00000000-0005-0000-0000-0000BF030000}"/>
    <cellStyle name="Heading 4 4" xfId="948" xr:uid="{00000000-0005-0000-0000-0000C0030000}"/>
    <cellStyle name="Heading 4 5" xfId="949" xr:uid="{00000000-0005-0000-0000-0000C1030000}"/>
    <cellStyle name="Heading 4 6" xfId="950" xr:uid="{00000000-0005-0000-0000-0000C2030000}"/>
    <cellStyle name="Heading 4 7" xfId="951" xr:uid="{00000000-0005-0000-0000-0000C3030000}"/>
    <cellStyle name="Heading1" xfId="952" xr:uid="{00000000-0005-0000-0000-0000C4030000}"/>
    <cellStyle name="Heading1 1" xfId="953" xr:uid="{00000000-0005-0000-0000-0000C5030000}"/>
    <cellStyle name="Heading2" xfId="954" xr:uid="{00000000-0005-0000-0000-0000C6030000}"/>
    <cellStyle name="Horizontal" xfId="955" xr:uid="{00000000-0005-0000-0000-0000C7030000}"/>
    <cellStyle name="Hyperlink 2" xfId="2178" xr:uid="{00000000-0005-0000-0000-0000C8030000}"/>
    <cellStyle name="Input [yellow]" xfId="956" xr:uid="{00000000-0005-0000-0000-0000C9030000}"/>
    <cellStyle name="Input 2" xfId="957" xr:uid="{00000000-0005-0000-0000-0000CA030000}"/>
    <cellStyle name="Input 3" xfId="958" xr:uid="{00000000-0005-0000-0000-0000CB030000}"/>
    <cellStyle name="Input 4" xfId="959" xr:uid="{00000000-0005-0000-0000-0000CC030000}"/>
    <cellStyle name="Input 5" xfId="960" xr:uid="{00000000-0005-0000-0000-0000CD030000}"/>
    <cellStyle name="Input 6" xfId="961" xr:uid="{00000000-0005-0000-0000-0000CE030000}"/>
    <cellStyle name="Input 7" xfId="962" xr:uid="{00000000-0005-0000-0000-0000CF030000}"/>
    <cellStyle name="Input Cells" xfId="963" xr:uid="{00000000-0005-0000-0000-0000D0030000}"/>
    <cellStyle name="Inputs" xfId="964" xr:uid="{00000000-0005-0000-0000-0000D1030000}"/>
    <cellStyle name="INR" xfId="965" xr:uid="{00000000-0005-0000-0000-0000D2030000}"/>
    <cellStyle name="item2" xfId="966" xr:uid="{00000000-0005-0000-0000-0000D3030000}"/>
    <cellStyle name="Jun" xfId="967" xr:uid="{00000000-0005-0000-0000-0000D4030000}"/>
    <cellStyle name="Komma0" xfId="968" xr:uid="{00000000-0005-0000-0000-0000D5030000}"/>
    <cellStyle name="Labels - Style3" xfId="969" xr:uid="{00000000-0005-0000-0000-0000D6030000}"/>
    <cellStyle name="Link Currency (0)" xfId="970" xr:uid="{00000000-0005-0000-0000-0000D7030000}"/>
    <cellStyle name="Link Currency (2)" xfId="971" xr:uid="{00000000-0005-0000-0000-0000D8030000}"/>
    <cellStyle name="Link Units (0)" xfId="972" xr:uid="{00000000-0005-0000-0000-0000D9030000}"/>
    <cellStyle name="Link Units (1)" xfId="973" xr:uid="{00000000-0005-0000-0000-0000DA030000}"/>
    <cellStyle name="Link Units (2)" xfId="974" xr:uid="{00000000-0005-0000-0000-0000DB030000}"/>
    <cellStyle name="Linked Cell 2" xfId="975" xr:uid="{00000000-0005-0000-0000-0000DC030000}"/>
    <cellStyle name="Linked Cell 3" xfId="976" xr:uid="{00000000-0005-0000-0000-0000DD030000}"/>
    <cellStyle name="Linked Cell 4" xfId="977" xr:uid="{00000000-0005-0000-0000-0000DE030000}"/>
    <cellStyle name="Linked Cell 5" xfId="978" xr:uid="{00000000-0005-0000-0000-0000DF030000}"/>
    <cellStyle name="Linked Cell 6" xfId="979" xr:uid="{00000000-0005-0000-0000-0000E0030000}"/>
    <cellStyle name="Linked Cell 7" xfId="980" xr:uid="{00000000-0005-0000-0000-0000E1030000}"/>
    <cellStyle name="MANKAD" xfId="981" xr:uid="{00000000-0005-0000-0000-0000E2030000}"/>
    <cellStyle name="Matrix" xfId="982" xr:uid="{00000000-0005-0000-0000-0000E3030000}"/>
    <cellStyle name="Millares [0]_Amort Presupuestadas 2007" xfId="983" xr:uid="{00000000-0005-0000-0000-0000E4030000}"/>
    <cellStyle name="Millares_Amort Presupuestadas 2007" xfId="984" xr:uid="{00000000-0005-0000-0000-0000E5030000}"/>
    <cellStyle name="Milliers [0]_2003_Projects_Action_Plan" xfId="985" xr:uid="{00000000-0005-0000-0000-0000E6030000}"/>
    <cellStyle name="Milliers_2003_Projects_Action_Plan" xfId="986" xr:uid="{00000000-0005-0000-0000-0000E7030000}"/>
    <cellStyle name="Model" xfId="987" xr:uid="{00000000-0005-0000-0000-0000E8030000}"/>
    <cellStyle name="Moeda [0]_laroux" xfId="988" xr:uid="{00000000-0005-0000-0000-0000E9030000}"/>
    <cellStyle name="Moeda_laroux" xfId="989" xr:uid="{00000000-0005-0000-0000-0000EA030000}"/>
    <cellStyle name="Moneda [0]_Amort Presupuestadas 2007" xfId="990" xr:uid="{00000000-0005-0000-0000-0000EB030000}"/>
    <cellStyle name="Moneda_Agroquímicos" xfId="991" xr:uid="{00000000-0005-0000-0000-0000EC030000}"/>
    <cellStyle name="Monétaire [0]_2003_Projects_Action_Plan" xfId="992" xr:uid="{00000000-0005-0000-0000-0000ED030000}"/>
    <cellStyle name="Monétaire_2003_Projects_Action_Plan" xfId="993" xr:uid="{00000000-0005-0000-0000-0000EE030000}"/>
    <cellStyle name="Multiple" xfId="994" xr:uid="{00000000-0005-0000-0000-0000EF030000}"/>
    <cellStyle name="my style" xfId="995" xr:uid="{00000000-0005-0000-0000-0000F0030000}"/>
    <cellStyle name="Name" xfId="996" xr:uid="{00000000-0005-0000-0000-0000F1030000}"/>
    <cellStyle name="Neutral 2" xfId="997" xr:uid="{00000000-0005-0000-0000-0000F2030000}"/>
    <cellStyle name="Neutral 3" xfId="998" xr:uid="{00000000-0005-0000-0000-0000F3030000}"/>
    <cellStyle name="Neutral 4" xfId="999" xr:uid="{00000000-0005-0000-0000-0000F4030000}"/>
    <cellStyle name="Neutral 5" xfId="1000" xr:uid="{00000000-0005-0000-0000-0000F5030000}"/>
    <cellStyle name="Neutral 6" xfId="1001" xr:uid="{00000000-0005-0000-0000-0000F6030000}"/>
    <cellStyle name="Neutral 7" xfId="1002" xr:uid="{00000000-0005-0000-0000-0000F7030000}"/>
    <cellStyle name="new" xfId="1003" xr:uid="{00000000-0005-0000-0000-0000F8030000}"/>
    <cellStyle name="New Times Roman" xfId="1004" xr:uid="{00000000-0005-0000-0000-0000F9030000}"/>
    <cellStyle name="NewAcct" xfId="1005" xr:uid="{00000000-0005-0000-0000-0000FA030000}"/>
    <cellStyle name="no dec" xfId="1006" xr:uid="{00000000-0005-0000-0000-0000FB030000}"/>
    <cellStyle name="NonPrint_Heading" xfId="1007" xr:uid="{00000000-0005-0000-0000-0000FC030000}"/>
    <cellStyle name="Nor}al" xfId="1008" xr:uid="{00000000-0005-0000-0000-0000FD030000}"/>
    <cellStyle name="Normal" xfId="0" builtinId="0"/>
    <cellStyle name="Normal - Style1" xfId="1009" xr:uid="{00000000-0005-0000-0000-0000FF030000}"/>
    <cellStyle name="Normal - Style1 10" xfId="1010" xr:uid="{00000000-0005-0000-0000-000000040000}"/>
    <cellStyle name="Normal - Style1 11" xfId="1011" xr:uid="{00000000-0005-0000-0000-000001040000}"/>
    <cellStyle name="Normal - Style1 12" xfId="1012" xr:uid="{00000000-0005-0000-0000-000002040000}"/>
    <cellStyle name="Normal - Style1 13" xfId="1013" xr:uid="{00000000-0005-0000-0000-000003040000}"/>
    <cellStyle name="Normal - Style1 14" xfId="1014" xr:uid="{00000000-0005-0000-0000-000004040000}"/>
    <cellStyle name="Normal - Style1 15" xfId="1015" xr:uid="{00000000-0005-0000-0000-000005040000}"/>
    <cellStyle name="Normal - Style1 2" xfId="1016" xr:uid="{00000000-0005-0000-0000-000006040000}"/>
    <cellStyle name="Normal - Style1 3" xfId="1017" xr:uid="{00000000-0005-0000-0000-000007040000}"/>
    <cellStyle name="Normal - Style1 4" xfId="1018" xr:uid="{00000000-0005-0000-0000-000008040000}"/>
    <cellStyle name="Normal - Style1 5" xfId="1019" xr:uid="{00000000-0005-0000-0000-000009040000}"/>
    <cellStyle name="Normal - Style1 6" xfId="1020" xr:uid="{00000000-0005-0000-0000-00000A040000}"/>
    <cellStyle name="Normal - Style1 7" xfId="1021" xr:uid="{00000000-0005-0000-0000-00000B040000}"/>
    <cellStyle name="Normal - Style1 8" xfId="1022" xr:uid="{00000000-0005-0000-0000-00000C040000}"/>
    <cellStyle name="Normal - Style1 9" xfId="1023" xr:uid="{00000000-0005-0000-0000-00000D040000}"/>
    <cellStyle name="Normal - Style1_C-CMA" xfId="1024" xr:uid="{00000000-0005-0000-0000-00000E040000}"/>
    <cellStyle name="Normal (B)" xfId="1025" xr:uid="{00000000-0005-0000-0000-00000F040000}"/>
    <cellStyle name="Normal (G)" xfId="1026" xr:uid="{00000000-0005-0000-0000-000010040000}"/>
    <cellStyle name="Normal 10" xfId="1027" xr:uid="{00000000-0005-0000-0000-000011040000}"/>
    <cellStyle name="Normal 10 10" xfId="1028" xr:uid="{00000000-0005-0000-0000-000012040000}"/>
    <cellStyle name="Normal 10 11" xfId="1029" xr:uid="{00000000-0005-0000-0000-000013040000}"/>
    <cellStyle name="Normal 10 12" xfId="1030" xr:uid="{00000000-0005-0000-0000-000014040000}"/>
    <cellStyle name="Normal 10 13" xfId="1031" xr:uid="{00000000-0005-0000-0000-000015040000}"/>
    <cellStyle name="Normal 10 14" xfId="1032" xr:uid="{00000000-0005-0000-0000-000016040000}"/>
    <cellStyle name="Normal 10 2" xfId="1033" xr:uid="{00000000-0005-0000-0000-000017040000}"/>
    <cellStyle name="Normal 10 2 2" xfId="1034" xr:uid="{00000000-0005-0000-0000-000018040000}"/>
    <cellStyle name="Normal 10 2 2 2" xfId="1035" xr:uid="{00000000-0005-0000-0000-000019040000}"/>
    <cellStyle name="Normal 10 2 2 3" xfId="1036" xr:uid="{00000000-0005-0000-0000-00001A040000}"/>
    <cellStyle name="Normal 10 2 2 4" xfId="1037" xr:uid="{00000000-0005-0000-0000-00001B040000}"/>
    <cellStyle name="Normal 10 2 2 5" xfId="1038" xr:uid="{00000000-0005-0000-0000-00001C040000}"/>
    <cellStyle name="Normal 10 2 3" xfId="1039" xr:uid="{00000000-0005-0000-0000-00001D040000}"/>
    <cellStyle name="Normal 10 2 4" xfId="1040" xr:uid="{00000000-0005-0000-0000-00001E040000}"/>
    <cellStyle name="Normal 10 2 5" xfId="1041" xr:uid="{00000000-0005-0000-0000-00001F040000}"/>
    <cellStyle name="Normal 10 3" xfId="1042" xr:uid="{00000000-0005-0000-0000-000020040000}"/>
    <cellStyle name="Normal 10 4" xfId="1043" xr:uid="{00000000-0005-0000-0000-000021040000}"/>
    <cellStyle name="Normal 10 5" xfId="1044" xr:uid="{00000000-0005-0000-0000-000022040000}"/>
    <cellStyle name="Normal 10 6" xfId="1045" xr:uid="{00000000-0005-0000-0000-000023040000}"/>
    <cellStyle name="Normal 10 7" xfId="1046" xr:uid="{00000000-0005-0000-0000-000024040000}"/>
    <cellStyle name="Normal 10 8" xfId="1047" xr:uid="{00000000-0005-0000-0000-000025040000}"/>
    <cellStyle name="Normal 10 9" xfId="1048" xr:uid="{00000000-0005-0000-0000-000026040000}"/>
    <cellStyle name="Normal 10_Schedule CMA" xfId="1049" xr:uid="{00000000-0005-0000-0000-000027040000}"/>
    <cellStyle name="Normal 11" xfId="1050" xr:uid="{00000000-0005-0000-0000-000028040000}"/>
    <cellStyle name="Normal 11 2" xfId="1051" xr:uid="{00000000-0005-0000-0000-000029040000}"/>
    <cellStyle name="Normal 11 3" xfId="1052" xr:uid="{00000000-0005-0000-0000-00002A040000}"/>
    <cellStyle name="Normal 11_BAlance Sheet 19.02.2009" xfId="1053" xr:uid="{00000000-0005-0000-0000-00002B040000}"/>
    <cellStyle name="Normal 12" xfId="1054" xr:uid="{00000000-0005-0000-0000-00002C040000}"/>
    <cellStyle name="Normal 12 10" xfId="1055" xr:uid="{00000000-0005-0000-0000-00002D040000}"/>
    <cellStyle name="Normal 12 11" xfId="1056" xr:uid="{00000000-0005-0000-0000-00002E040000}"/>
    <cellStyle name="Normal 12 12" xfId="1057" xr:uid="{00000000-0005-0000-0000-00002F040000}"/>
    <cellStyle name="Normal 12 13" xfId="1058" xr:uid="{00000000-0005-0000-0000-000030040000}"/>
    <cellStyle name="Normal 12 14" xfId="1059" xr:uid="{00000000-0005-0000-0000-000031040000}"/>
    <cellStyle name="Normal 12 15" xfId="1060" xr:uid="{00000000-0005-0000-0000-000032040000}"/>
    <cellStyle name="Normal 12 2" xfId="1061" xr:uid="{00000000-0005-0000-0000-000033040000}"/>
    <cellStyle name="Normal 12 2 2" xfId="1062" xr:uid="{00000000-0005-0000-0000-000034040000}"/>
    <cellStyle name="Normal 12 2 3" xfId="1063" xr:uid="{00000000-0005-0000-0000-000035040000}"/>
    <cellStyle name="Normal 12 2 4" xfId="1064" xr:uid="{00000000-0005-0000-0000-000036040000}"/>
    <cellStyle name="Normal 12 2 5" xfId="1065" xr:uid="{00000000-0005-0000-0000-000037040000}"/>
    <cellStyle name="Normal 12 3" xfId="1066" xr:uid="{00000000-0005-0000-0000-000038040000}"/>
    <cellStyle name="Normal 12 4" xfId="1067" xr:uid="{00000000-0005-0000-0000-000039040000}"/>
    <cellStyle name="Normal 12 5" xfId="1068" xr:uid="{00000000-0005-0000-0000-00003A040000}"/>
    <cellStyle name="Normal 12 6" xfId="1069" xr:uid="{00000000-0005-0000-0000-00003B040000}"/>
    <cellStyle name="Normal 12 7" xfId="1070" xr:uid="{00000000-0005-0000-0000-00003C040000}"/>
    <cellStyle name="Normal 12 8" xfId="1071" xr:uid="{00000000-0005-0000-0000-00003D040000}"/>
    <cellStyle name="Normal 12 9" xfId="1072" xr:uid="{00000000-0005-0000-0000-00003E040000}"/>
    <cellStyle name="Normal 12_C-CMA" xfId="1073" xr:uid="{00000000-0005-0000-0000-00003F040000}"/>
    <cellStyle name="Normal 13" xfId="1074" xr:uid="{00000000-0005-0000-0000-000040040000}"/>
    <cellStyle name="Normal 13 10" xfId="1075" xr:uid="{00000000-0005-0000-0000-000041040000}"/>
    <cellStyle name="Normal 13 11" xfId="1076" xr:uid="{00000000-0005-0000-0000-000042040000}"/>
    <cellStyle name="Normal 13 12" xfId="1077" xr:uid="{00000000-0005-0000-0000-000043040000}"/>
    <cellStyle name="Normal 13 13" xfId="1078" xr:uid="{00000000-0005-0000-0000-000044040000}"/>
    <cellStyle name="Normal 13 14" xfId="1079" xr:uid="{00000000-0005-0000-0000-000045040000}"/>
    <cellStyle name="Normal 13 15" xfId="1080" xr:uid="{00000000-0005-0000-0000-000046040000}"/>
    <cellStyle name="Normal 13 2" xfId="1081" xr:uid="{00000000-0005-0000-0000-000047040000}"/>
    <cellStyle name="Normal 13 3" xfId="1082" xr:uid="{00000000-0005-0000-0000-000048040000}"/>
    <cellStyle name="Normal 13 4" xfId="1083" xr:uid="{00000000-0005-0000-0000-000049040000}"/>
    <cellStyle name="Normal 13 5" xfId="1084" xr:uid="{00000000-0005-0000-0000-00004A040000}"/>
    <cellStyle name="Normal 13 6" xfId="1085" xr:uid="{00000000-0005-0000-0000-00004B040000}"/>
    <cellStyle name="Normal 13 7" xfId="1086" xr:uid="{00000000-0005-0000-0000-00004C040000}"/>
    <cellStyle name="Normal 13 8" xfId="1087" xr:uid="{00000000-0005-0000-0000-00004D040000}"/>
    <cellStyle name="Normal 13 9" xfId="1088" xr:uid="{00000000-0005-0000-0000-00004E040000}"/>
    <cellStyle name="Normal 13_Schedule CMA" xfId="1089" xr:uid="{00000000-0005-0000-0000-00004F040000}"/>
    <cellStyle name="Normal 14" xfId="1090" xr:uid="{00000000-0005-0000-0000-000050040000}"/>
    <cellStyle name="Normal 14 10" xfId="1091" xr:uid="{00000000-0005-0000-0000-000051040000}"/>
    <cellStyle name="Normal 14 11" xfId="1092" xr:uid="{00000000-0005-0000-0000-000052040000}"/>
    <cellStyle name="Normal 14 12" xfId="1093" xr:uid="{00000000-0005-0000-0000-000053040000}"/>
    <cellStyle name="Normal 14 13" xfId="1094" xr:uid="{00000000-0005-0000-0000-000054040000}"/>
    <cellStyle name="Normal 14 14" xfId="1095" xr:uid="{00000000-0005-0000-0000-000055040000}"/>
    <cellStyle name="Normal 14 2" xfId="1096" xr:uid="{00000000-0005-0000-0000-000056040000}"/>
    <cellStyle name="Normal 14 2 2" xfId="1097" xr:uid="{00000000-0005-0000-0000-000057040000}"/>
    <cellStyle name="Normal 14 2 2 2" xfId="1098" xr:uid="{00000000-0005-0000-0000-000058040000}"/>
    <cellStyle name="Normal 14 2 2 3" xfId="1099" xr:uid="{00000000-0005-0000-0000-000059040000}"/>
    <cellStyle name="Normal 14 2 2 4" xfId="1100" xr:uid="{00000000-0005-0000-0000-00005A040000}"/>
    <cellStyle name="Normal 14 2 2 5" xfId="1101" xr:uid="{00000000-0005-0000-0000-00005B040000}"/>
    <cellStyle name="Normal 14 2 3" xfId="1102" xr:uid="{00000000-0005-0000-0000-00005C040000}"/>
    <cellStyle name="Normal 14 2 4" xfId="1103" xr:uid="{00000000-0005-0000-0000-00005D040000}"/>
    <cellStyle name="Normal 14 2 5" xfId="1104" xr:uid="{00000000-0005-0000-0000-00005E040000}"/>
    <cellStyle name="Normal 14 3" xfId="1105" xr:uid="{00000000-0005-0000-0000-00005F040000}"/>
    <cellStyle name="Normal 14 4" xfId="1106" xr:uid="{00000000-0005-0000-0000-000060040000}"/>
    <cellStyle name="Normal 14 5" xfId="1107" xr:uid="{00000000-0005-0000-0000-000061040000}"/>
    <cellStyle name="Normal 14 6" xfId="1108" xr:uid="{00000000-0005-0000-0000-000062040000}"/>
    <cellStyle name="Normal 14 7" xfId="1109" xr:uid="{00000000-0005-0000-0000-000063040000}"/>
    <cellStyle name="Normal 14 8" xfId="1110" xr:uid="{00000000-0005-0000-0000-000064040000}"/>
    <cellStyle name="Normal 14 9" xfId="1111" xr:uid="{00000000-0005-0000-0000-000065040000}"/>
    <cellStyle name="Normal 14_Schedule CMA" xfId="1112" xr:uid="{00000000-0005-0000-0000-000066040000}"/>
    <cellStyle name="Normal 15" xfId="1113" xr:uid="{00000000-0005-0000-0000-000067040000}"/>
    <cellStyle name="Normal 15 10" xfId="1114" xr:uid="{00000000-0005-0000-0000-000068040000}"/>
    <cellStyle name="Normal 15 11" xfId="1115" xr:uid="{00000000-0005-0000-0000-000069040000}"/>
    <cellStyle name="Normal 15 12" xfId="1116" xr:uid="{00000000-0005-0000-0000-00006A040000}"/>
    <cellStyle name="Normal 15 13" xfId="1117" xr:uid="{00000000-0005-0000-0000-00006B040000}"/>
    <cellStyle name="Normal 15 14" xfId="1118" xr:uid="{00000000-0005-0000-0000-00006C040000}"/>
    <cellStyle name="Normal 15 2" xfId="1119" xr:uid="{00000000-0005-0000-0000-00006D040000}"/>
    <cellStyle name="Normal 15 2 2" xfId="1120" xr:uid="{00000000-0005-0000-0000-00006E040000}"/>
    <cellStyle name="Normal 15 2 2 2" xfId="1121" xr:uid="{00000000-0005-0000-0000-00006F040000}"/>
    <cellStyle name="Normal 15 2 2 3" xfId="1122" xr:uid="{00000000-0005-0000-0000-000070040000}"/>
    <cellStyle name="Normal 15 2 2 4" xfId="1123" xr:uid="{00000000-0005-0000-0000-000071040000}"/>
    <cellStyle name="Normal 15 2 2 5" xfId="1124" xr:uid="{00000000-0005-0000-0000-000072040000}"/>
    <cellStyle name="Normal 15 2 3" xfId="1125" xr:uid="{00000000-0005-0000-0000-000073040000}"/>
    <cellStyle name="Normal 15 2 4" xfId="1126" xr:uid="{00000000-0005-0000-0000-000074040000}"/>
    <cellStyle name="Normal 15 2 5" xfId="1127" xr:uid="{00000000-0005-0000-0000-000075040000}"/>
    <cellStyle name="Normal 15 3" xfId="1128" xr:uid="{00000000-0005-0000-0000-000076040000}"/>
    <cellStyle name="Normal 15 4" xfId="1129" xr:uid="{00000000-0005-0000-0000-000077040000}"/>
    <cellStyle name="Normal 15 5" xfId="1130" xr:uid="{00000000-0005-0000-0000-000078040000}"/>
    <cellStyle name="Normal 15 6" xfId="1131" xr:uid="{00000000-0005-0000-0000-000079040000}"/>
    <cellStyle name="Normal 15 7" xfId="1132" xr:uid="{00000000-0005-0000-0000-00007A040000}"/>
    <cellStyle name="Normal 15 8" xfId="1133" xr:uid="{00000000-0005-0000-0000-00007B040000}"/>
    <cellStyle name="Normal 15 9" xfId="1134" xr:uid="{00000000-0005-0000-0000-00007C040000}"/>
    <cellStyle name="Normal 15_Schedule CMA" xfId="1135" xr:uid="{00000000-0005-0000-0000-00007D040000}"/>
    <cellStyle name="Normal 16" xfId="1136" xr:uid="{00000000-0005-0000-0000-00007E040000}"/>
    <cellStyle name="Normal 16 10" xfId="1137" xr:uid="{00000000-0005-0000-0000-00007F040000}"/>
    <cellStyle name="Normal 16 11" xfId="1138" xr:uid="{00000000-0005-0000-0000-000080040000}"/>
    <cellStyle name="Normal 16 12" xfId="1139" xr:uid="{00000000-0005-0000-0000-000081040000}"/>
    <cellStyle name="Normal 16 13" xfId="1140" xr:uid="{00000000-0005-0000-0000-000082040000}"/>
    <cellStyle name="Normal 16 14" xfId="1141" xr:uid="{00000000-0005-0000-0000-000083040000}"/>
    <cellStyle name="Normal 16 2" xfId="1142" xr:uid="{00000000-0005-0000-0000-000084040000}"/>
    <cellStyle name="Normal 16 2 2" xfId="1143" xr:uid="{00000000-0005-0000-0000-000085040000}"/>
    <cellStyle name="Normal 16 2 2 2" xfId="1144" xr:uid="{00000000-0005-0000-0000-000086040000}"/>
    <cellStyle name="Normal 16 2 2 3" xfId="1145" xr:uid="{00000000-0005-0000-0000-000087040000}"/>
    <cellStyle name="Normal 16 2 2 4" xfId="1146" xr:uid="{00000000-0005-0000-0000-000088040000}"/>
    <cellStyle name="Normal 16 2 2 5" xfId="1147" xr:uid="{00000000-0005-0000-0000-000089040000}"/>
    <cellStyle name="Normal 16 2 3" xfId="1148" xr:uid="{00000000-0005-0000-0000-00008A040000}"/>
    <cellStyle name="Normal 16 2 4" xfId="1149" xr:uid="{00000000-0005-0000-0000-00008B040000}"/>
    <cellStyle name="Normal 16 2 5" xfId="1150" xr:uid="{00000000-0005-0000-0000-00008C040000}"/>
    <cellStyle name="Normal 16 3" xfId="1151" xr:uid="{00000000-0005-0000-0000-00008D040000}"/>
    <cellStyle name="Normal 16 4" xfId="1152" xr:uid="{00000000-0005-0000-0000-00008E040000}"/>
    <cellStyle name="Normal 16 5" xfId="1153" xr:uid="{00000000-0005-0000-0000-00008F040000}"/>
    <cellStyle name="Normal 16 6" xfId="1154" xr:uid="{00000000-0005-0000-0000-000090040000}"/>
    <cellStyle name="Normal 16 7" xfId="1155" xr:uid="{00000000-0005-0000-0000-000091040000}"/>
    <cellStyle name="Normal 16 8" xfId="1156" xr:uid="{00000000-0005-0000-0000-000092040000}"/>
    <cellStyle name="Normal 16 9" xfId="1157" xr:uid="{00000000-0005-0000-0000-000093040000}"/>
    <cellStyle name="Normal 16_Schedule CMA" xfId="1158" xr:uid="{00000000-0005-0000-0000-000094040000}"/>
    <cellStyle name="Normal 17" xfId="1159" xr:uid="{00000000-0005-0000-0000-000095040000}"/>
    <cellStyle name="Normal 17 10" xfId="1160" xr:uid="{00000000-0005-0000-0000-000096040000}"/>
    <cellStyle name="Normal 17 11" xfId="1161" xr:uid="{00000000-0005-0000-0000-000097040000}"/>
    <cellStyle name="Normal 17 12" xfId="1162" xr:uid="{00000000-0005-0000-0000-000098040000}"/>
    <cellStyle name="Normal 17 13" xfId="1163" xr:uid="{00000000-0005-0000-0000-000099040000}"/>
    <cellStyle name="Normal 17 14" xfId="1164" xr:uid="{00000000-0005-0000-0000-00009A040000}"/>
    <cellStyle name="Normal 17 2" xfId="1165" xr:uid="{00000000-0005-0000-0000-00009B040000}"/>
    <cellStyle name="Normal 17 2 2" xfId="1166" xr:uid="{00000000-0005-0000-0000-00009C040000}"/>
    <cellStyle name="Normal 17 2 2 2" xfId="1167" xr:uid="{00000000-0005-0000-0000-00009D040000}"/>
    <cellStyle name="Normal 17 2 2 3" xfId="1168" xr:uid="{00000000-0005-0000-0000-00009E040000}"/>
    <cellStyle name="Normal 17 2 2 4" xfId="1169" xr:uid="{00000000-0005-0000-0000-00009F040000}"/>
    <cellStyle name="Normal 17 2 2 5" xfId="1170" xr:uid="{00000000-0005-0000-0000-0000A0040000}"/>
    <cellStyle name="Normal 17 2 3" xfId="1171" xr:uid="{00000000-0005-0000-0000-0000A1040000}"/>
    <cellStyle name="Normal 17 2 4" xfId="1172" xr:uid="{00000000-0005-0000-0000-0000A2040000}"/>
    <cellStyle name="Normal 17 2 5" xfId="1173" xr:uid="{00000000-0005-0000-0000-0000A3040000}"/>
    <cellStyle name="Normal 17 3" xfId="1174" xr:uid="{00000000-0005-0000-0000-0000A4040000}"/>
    <cellStyle name="Normal 17 4" xfId="1175" xr:uid="{00000000-0005-0000-0000-0000A5040000}"/>
    <cellStyle name="Normal 17 5" xfId="1176" xr:uid="{00000000-0005-0000-0000-0000A6040000}"/>
    <cellStyle name="Normal 17 6" xfId="1177" xr:uid="{00000000-0005-0000-0000-0000A7040000}"/>
    <cellStyle name="Normal 17 7" xfId="1178" xr:uid="{00000000-0005-0000-0000-0000A8040000}"/>
    <cellStyle name="Normal 17 8" xfId="1179" xr:uid="{00000000-0005-0000-0000-0000A9040000}"/>
    <cellStyle name="Normal 17 9" xfId="1180" xr:uid="{00000000-0005-0000-0000-0000AA040000}"/>
    <cellStyle name="Normal 17_Schedule CMA" xfId="1181" xr:uid="{00000000-0005-0000-0000-0000AB040000}"/>
    <cellStyle name="Normal 18" xfId="1182" xr:uid="{00000000-0005-0000-0000-0000AC040000}"/>
    <cellStyle name="Normal 18 10" xfId="1183" xr:uid="{00000000-0005-0000-0000-0000AD040000}"/>
    <cellStyle name="Normal 18 11" xfId="1184" xr:uid="{00000000-0005-0000-0000-0000AE040000}"/>
    <cellStyle name="Normal 18 12" xfId="1185" xr:uid="{00000000-0005-0000-0000-0000AF040000}"/>
    <cellStyle name="Normal 18 13" xfId="1186" xr:uid="{00000000-0005-0000-0000-0000B0040000}"/>
    <cellStyle name="Normal 18 14" xfId="1187" xr:uid="{00000000-0005-0000-0000-0000B1040000}"/>
    <cellStyle name="Normal 18 2" xfId="1188" xr:uid="{00000000-0005-0000-0000-0000B2040000}"/>
    <cellStyle name="Normal 18 2 2" xfId="1189" xr:uid="{00000000-0005-0000-0000-0000B3040000}"/>
    <cellStyle name="Normal 18 2 2 2" xfId="1190" xr:uid="{00000000-0005-0000-0000-0000B4040000}"/>
    <cellStyle name="Normal 18 2 2 3" xfId="1191" xr:uid="{00000000-0005-0000-0000-0000B5040000}"/>
    <cellStyle name="Normal 18 2 2 4" xfId="1192" xr:uid="{00000000-0005-0000-0000-0000B6040000}"/>
    <cellStyle name="Normal 18 2 2 5" xfId="1193" xr:uid="{00000000-0005-0000-0000-0000B7040000}"/>
    <cellStyle name="Normal 18 2 3" xfId="1194" xr:uid="{00000000-0005-0000-0000-0000B8040000}"/>
    <cellStyle name="Normal 18 2 4" xfId="1195" xr:uid="{00000000-0005-0000-0000-0000B9040000}"/>
    <cellStyle name="Normal 18 2 5" xfId="1196" xr:uid="{00000000-0005-0000-0000-0000BA040000}"/>
    <cellStyle name="Normal 18 3" xfId="1197" xr:uid="{00000000-0005-0000-0000-0000BB040000}"/>
    <cellStyle name="Normal 18 4" xfId="1198" xr:uid="{00000000-0005-0000-0000-0000BC040000}"/>
    <cellStyle name="Normal 18 5" xfId="1199" xr:uid="{00000000-0005-0000-0000-0000BD040000}"/>
    <cellStyle name="Normal 18 6" xfId="1200" xr:uid="{00000000-0005-0000-0000-0000BE040000}"/>
    <cellStyle name="Normal 18 7" xfId="1201" xr:uid="{00000000-0005-0000-0000-0000BF040000}"/>
    <cellStyle name="Normal 18 8" xfId="1202" xr:uid="{00000000-0005-0000-0000-0000C0040000}"/>
    <cellStyle name="Normal 18 9" xfId="1203" xr:uid="{00000000-0005-0000-0000-0000C1040000}"/>
    <cellStyle name="Normal 18_Schedule CMA" xfId="1204" xr:uid="{00000000-0005-0000-0000-0000C2040000}"/>
    <cellStyle name="Normal 19" xfId="1205" xr:uid="{00000000-0005-0000-0000-0000C3040000}"/>
    <cellStyle name="Normal 19 10" xfId="1206" xr:uid="{00000000-0005-0000-0000-0000C4040000}"/>
    <cellStyle name="Normal 19 11" xfId="1207" xr:uid="{00000000-0005-0000-0000-0000C5040000}"/>
    <cellStyle name="Normal 19 12" xfId="1208" xr:uid="{00000000-0005-0000-0000-0000C6040000}"/>
    <cellStyle name="Normal 19 13" xfId="1209" xr:uid="{00000000-0005-0000-0000-0000C7040000}"/>
    <cellStyle name="Normal 19 14" xfId="1210" xr:uid="{00000000-0005-0000-0000-0000C8040000}"/>
    <cellStyle name="Normal 19 2" xfId="1211" xr:uid="{00000000-0005-0000-0000-0000C9040000}"/>
    <cellStyle name="Normal 19 2 2" xfId="1212" xr:uid="{00000000-0005-0000-0000-0000CA040000}"/>
    <cellStyle name="Normal 19 2 2 2" xfId="1213" xr:uid="{00000000-0005-0000-0000-0000CB040000}"/>
    <cellStyle name="Normal 19 2 2 3" xfId="1214" xr:uid="{00000000-0005-0000-0000-0000CC040000}"/>
    <cellStyle name="Normal 19 2 2 4" xfId="1215" xr:uid="{00000000-0005-0000-0000-0000CD040000}"/>
    <cellStyle name="Normal 19 2 2 5" xfId="1216" xr:uid="{00000000-0005-0000-0000-0000CE040000}"/>
    <cellStyle name="Normal 19 2 3" xfId="1217" xr:uid="{00000000-0005-0000-0000-0000CF040000}"/>
    <cellStyle name="Normal 19 2 4" xfId="1218" xr:uid="{00000000-0005-0000-0000-0000D0040000}"/>
    <cellStyle name="Normal 19 2 5" xfId="1219" xr:uid="{00000000-0005-0000-0000-0000D1040000}"/>
    <cellStyle name="Normal 19 3" xfId="1220" xr:uid="{00000000-0005-0000-0000-0000D2040000}"/>
    <cellStyle name="Normal 19 4" xfId="1221" xr:uid="{00000000-0005-0000-0000-0000D3040000}"/>
    <cellStyle name="Normal 19 5" xfId="1222" xr:uid="{00000000-0005-0000-0000-0000D4040000}"/>
    <cellStyle name="Normal 19 6" xfId="1223" xr:uid="{00000000-0005-0000-0000-0000D5040000}"/>
    <cellStyle name="Normal 19 7" xfId="1224" xr:uid="{00000000-0005-0000-0000-0000D6040000}"/>
    <cellStyle name="Normal 19 8" xfId="1225" xr:uid="{00000000-0005-0000-0000-0000D7040000}"/>
    <cellStyle name="Normal 19 9" xfId="1226" xr:uid="{00000000-0005-0000-0000-0000D8040000}"/>
    <cellStyle name="Normal 19_Schedule CMA" xfId="1227" xr:uid="{00000000-0005-0000-0000-0000D9040000}"/>
    <cellStyle name="Normal 2" xfId="1228" xr:uid="{00000000-0005-0000-0000-0000DA040000}"/>
    <cellStyle name="Normal 2 10" xfId="1229" xr:uid="{00000000-0005-0000-0000-0000DB040000}"/>
    <cellStyle name="Normal 2 11" xfId="1230" xr:uid="{00000000-0005-0000-0000-0000DC040000}"/>
    <cellStyle name="Normal 2 12" xfId="1231" xr:uid="{00000000-0005-0000-0000-0000DD040000}"/>
    <cellStyle name="Normal 2 13" xfId="1232" xr:uid="{00000000-0005-0000-0000-0000DE040000}"/>
    <cellStyle name="Normal 2 14" xfId="1233" xr:uid="{00000000-0005-0000-0000-0000DF040000}"/>
    <cellStyle name="Normal 2 15" xfId="1234" xr:uid="{00000000-0005-0000-0000-0000E0040000}"/>
    <cellStyle name="Normal 2 16" xfId="1235" xr:uid="{00000000-0005-0000-0000-0000E1040000}"/>
    <cellStyle name="Normal 2 17" xfId="1236" xr:uid="{00000000-0005-0000-0000-0000E2040000}"/>
    <cellStyle name="Normal 2 18" xfId="2179" xr:uid="{00000000-0005-0000-0000-0000E3040000}"/>
    <cellStyle name="Normal 2 19" xfId="2180" xr:uid="{00000000-0005-0000-0000-0000E4040000}"/>
    <cellStyle name="Normal 2 2" xfId="1237" xr:uid="{00000000-0005-0000-0000-0000E5040000}"/>
    <cellStyle name="Normal 2 2 10" xfId="1238" xr:uid="{00000000-0005-0000-0000-0000E6040000}"/>
    <cellStyle name="Normal 2 2 11" xfId="1239" xr:uid="{00000000-0005-0000-0000-0000E7040000}"/>
    <cellStyle name="Normal 2 2 12" xfId="1240" xr:uid="{00000000-0005-0000-0000-0000E8040000}"/>
    <cellStyle name="Normal 2 2 13" xfId="1241" xr:uid="{00000000-0005-0000-0000-0000E9040000}"/>
    <cellStyle name="Normal 2 2 14" xfId="1242" xr:uid="{00000000-0005-0000-0000-0000EA040000}"/>
    <cellStyle name="Normal 2 2 15" xfId="1243" xr:uid="{00000000-0005-0000-0000-0000EB040000}"/>
    <cellStyle name="Normal 2 2 2" xfId="1244" xr:uid="{00000000-0005-0000-0000-0000EC040000}"/>
    <cellStyle name="Normal 2 2 2 10" xfId="1245" xr:uid="{00000000-0005-0000-0000-0000ED040000}"/>
    <cellStyle name="Normal 2 2 2 11" xfId="1246" xr:uid="{00000000-0005-0000-0000-0000EE040000}"/>
    <cellStyle name="Normal 2 2 2 12" xfId="1247" xr:uid="{00000000-0005-0000-0000-0000EF040000}"/>
    <cellStyle name="Normal 2 2 2 13" xfId="1248" xr:uid="{00000000-0005-0000-0000-0000F0040000}"/>
    <cellStyle name="Normal 2 2 2 14" xfId="1249" xr:uid="{00000000-0005-0000-0000-0000F1040000}"/>
    <cellStyle name="Normal 2 2 2 2" xfId="1250" xr:uid="{00000000-0005-0000-0000-0000F2040000}"/>
    <cellStyle name="Normal 2 2 2 3" xfId="1251" xr:uid="{00000000-0005-0000-0000-0000F3040000}"/>
    <cellStyle name="Normal 2 2 2 3 2" xfId="1252" xr:uid="{00000000-0005-0000-0000-0000F4040000}"/>
    <cellStyle name="Normal 2 2 2 3 2 2" xfId="1253" xr:uid="{00000000-0005-0000-0000-0000F5040000}"/>
    <cellStyle name="Normal 2 2 2 3 2 3" xfId="1254" xr:uid="{00000000-0005-0000-0000-0000F6040000}"/>
    <cellStyle name="Normal 2 2 2 3 2 4" xfId="1255" xr:uid="{00000000-0005-0000-0000-0000F7040000}"/>
    <cellStyle name="Normal 2 2 2 3 2 5" xfId="1256" xr:uid="{00000000-0005-0000-0000-0000F8040000}"/>
    <cellStyle name="Normal 2 2 2 3 3" xfId="1257" xr:uid="{00000000-0005-0000-0000-0000F9040000}"/>
    <cellStyle name="Normal 2 2 2 3 4" xfId="1258" xr:uid="{00000000-0005-0000-0000-0000FA040000}"/>
    <cellStyle name="Normal 2 2 2 3 5" xfId="1259" xr:uid="{00000000-0005-0000-0000-0000FB040000}"/>
    <cellStyle name="Normal 2 2 2 4" xfId="1260" xr:uid="{00000000-0005-0000-0000-0000FC040000}"/>
    <cellStyle name="Normal 2 2 2 5" xfId="1261" xr:uid="{00000000-0005-0000-0000-0000FD040000}"/>
    <cellStyle name="Normal 2 2 2 6" xfId="1262" xr:uid="{00000000-0005-0000-0000-0000FE040000}"/>
    <cellStyle name="Normal 2 2 2 7" xfId="1263" xr:uid="{00000000-0005-0000-0000-0000FF040000}"/>
    <cellStyle name="Normal 2 2 2 8" xfId="1264" xr:uid="{00000000-0005-0000-0000-000000050000}"/>
    <cellStyle name="Normal 2 2 2 9" xfId="1265" xr:uid="{00000000-0005-0000-0000-000001050000}"/>
    <cellStyle name="Normal 2 2 2_3CD_2010-11_annexures" xfId="1266" xr:uid="{00000000-0005-0000-0000-000002050000}"/>
    <cellStyle name="Normal 2 2 3" xfId="1267" xr:uid="{00000000-0005-0000-0000-000003050000}"/>
    <cellStyle name="Normal 2 2 3 2" xfId="1268" xr:uid="{00000000-0005-0000-0000-000004050000}"/>
    <cellStyle name="Normal 2 2 3 2 2" xfId="1269" xr:uid="{00000000-0005-0000-0000-000005050000}"/>
    <cellStyle name="Normal 2 2 3 2 3" xfId="1270" xr:uid="{00000000-0005-0000-0000-000006050000}"/>
    <cellStyle name="Normal 2 2 3 2 4" xfId="1271" xr:uid="{00000000-0005-0000-0000-000007050000}"/>
    <cellStyle name="Normal 2 2 3 2 5" xfId="1272" xr:uid="{00000000-0005-0000-0000-000008050000}"/>
    <cellStyle name="Normal 2 2 3 3" xfId="1273" xr:uid="{00000000-0005-0000-0000-000009050000}"/>
    <cellStyle name="Normal 2 2 3 4" xfId="1274" xr:uid="{00000000-0005-0000-0000-00000A050000}"/>
    <cellStyle name="Normal 2 2 3 5" xfId="1275" xr:uid="{00000000-0005-0000-0000-00000B050000}"/>
    <cellStyle name="Normal 2 2 4" xfId="1276" xr:uid="{00000000-0005-0000-0000-00000C050000}"/>
    <cellStyle name="Normal 2 2 5" xfId="1277" xr:uid="{00000000-0005-0000-0000-00000D050000}"/>
    <cellStyle name="Normal 2 2 6" xfId="1278" xr:uid="{00000000-0005-0000-0000-00000E050000}"/>
    <cellStyle name="Normal 2 2 7" xfId="1279" xr:uid="{00000000-0005-0000-0000-00000F050000}"/>
    <cellStyle name="Normal 2 2 8" xfId="1280" xr:uid="{00000000-0005-0000-0000-000010050000}"/>
    <cellStyle name="Normal 2 2 9" xfId="1281" xr:uid="{00000000-0005-0000-0000-000011050000}"/>
    <cellStyle name="Normal 2 2_C-CMA" xfId="1282" xr:uid="{00000000-0005-0000-0000-000012050000}"/>
    <cellStyle name="Normal 2 3" xfId="1283" xr:uid="{00000000-0005-0000-0000-000013050000}"/>
    <cellStyle name="Normal 2 3 10" xfId="1284" xr:uid="{00000000-0005-0000-0000-000014050000}"/>
    <cellStyle name="Normal 2 3 11" xfId="1285" xr:uid="{00000000-0005-0000-0000-000015050000}"/>
    <cellStyle name="Normal 2 3 12" xfId="1286" xr:uid="{00000000-0005-0000-0000-000016050000}"/>
    <cellStyle name="Normal 2 3 13" xfId="1287" xr:uid="{00000000-0005-0000-0000-000017050000}"/>
    <cellStyle name="Normal 2 3 14" xfId="1288" xr:uid="{00000000-0005-0000-0000-000018050000}"/>
    <cellStyle name="Normal 2 3 2" xfId="1289" xr:uid="{00000000-0005-0000-0000-000019050000}"/>
    <cellStyle name="Normal 2 3 2 2" xfId="1290" xr:uid="{00000000-0005-0000-0000-00001A050000}"/>
    <cellStyle name="Normal 2 3 2 2 2" xfId="1291" xr:uid="{00000000-0005-0000-0000-00001B050000}"/>
    <cellStyle name="Normal 2 3 2 2 3" xfId="1292" xr:uid="{00000000-0005-0000-0000-00001C050000}"/>
    <cellStyle name="Normal 2 3 2 2 4" xfId="1293" xr:uid="{00000000-0005-0000-0000-00001D050000}"/>
    <cellStyle name="Normal 2 3 2 2 5" xfId="1294" xr:uid="{00000000-0005-0000-0000-00001E050000}"/>
    <cellStyle name="Normal 2 3 2 3" xfId="1295" xr:uid="{00000000-0005-0000-0000-00001F050000}"/>
    <cellStyle name="Normal 2 3 2 4" xfId="1296" xr:uid="{00000000-0005-0000-0000-000020050000}"/>
    <cellStyle name="Normal 2 3 2 5" xfId="1297" xr:uid="{00000000-0005-0000-0000-000021050000}"/>
    <cellStyle name="Normal 2 3 3" xfId="1298" xr:uid="{00000000-0005-0000-0000-000022050000}"/>
    <cellStyle name="Normal 2 3 4" xfId="1299" xr:uid="{00000000-0005-0000-0000-000023050000}"/>
    <cellStyle name="Normal 2 3 5" xfId="1300" xr:uid="{00000000-0005-0000-0000-000024050000}"/>
    <cellStyle name="Normal 2 3 6" xfId="1301" xr:uid="{00000000-0005-0000-0000-000025050000}"/>
    <cellStyle name="Normal 2 3 7" xfId="1302" xr:uid="{00000000-0005-0000-0000-000026050000}"/>
    <cellStyle name="Normal 2 3 8" xfId="1303" xr:uid="{00000000-0005-0000-0000-000027050000}"/>
    <cellStyle name="Normal 2 3 9" xfId="1304" xr:uid="{00000000-0005-0000-0000-000028050000}"/>
    <cellStyle name="Normal 2 3_Schedule CMA" xfId="1305" xr:uid="{00000000-0005-0000-0000-000029050000}"/>
    <cellStyle name="Normal 2 4" xfId="1306" xr:uid="{00000000-0005-0000-0000-00002A050000}"/>
    <cellStyle name="Normal 2 5" xfId="1307" xr:uid="{00000000-0005-0000-0000-00002B050000}"/>
    <cellStyle name="Normal 2 5 2" xfId="1308" xr:uid="{00000000-0005-0000-0000-00002C050000}"/>
    <cellStyle name="Normal 2 5 3" xfId="1309" xr:uid="{00000000-0005-0000-0000-00002D050000}"/>
    <cellStyle name="Normal 2 5 4" xfId="1310" xr:uid="{00000000-0005-0000-0000-00002E050000}"/>
    <cellStyle name="Normal 2 5 5" xfId="1311" xr:uid="{00000000-0005-0000-0000-00002F050000}"/>
    <cellStyle name="Normal 2 6" xfId="1312" xr:uid="{00000000-0005-0000-0000-000030050000}"/>
    <cellStyle name="Normal 2 6 2" xfId="1313" xr:uid="{00000000-0005-0000-0000-000031050000}"/>
    <cellStyle name="Normal 2 6 3" xfId="1314" xr:uid="{00000000-0005-0000-0000-000032050000}"/>
    <cellStyle name="Normal 2 6 4" xfId="1315" xr:uid="{00000000-0005-0000-0000-000033050000}"/>
    <cellStyle name="Normal 2 6 5" xfId="1316" xr:uid="{00000000-0005-0000-0000-000034050000}"/>
    <cellStyle name="Normal 2 7" xfId="1317" xr:uid="{00000000-0005-0000-0000-000035050000}"/>
    <cellStyle name="Normal 2 8" xfId="1318" xr:uid="{00000000-0005-0000-0000-000036050000}"/>
    <cellStyle name="Normal 2 9" xfId="1319" xr:uid="{00000000-0005-0000-0000-000037050000}"/>
    <cellStyle name="Normal 2_3CD_2010-11_annexures" xfId="1320" xr:uid="{00000000-0005-0000-0000-000038050000}"/>
    <cellStyle name="Normal 20" xfId="1321" xr:uid="{00000000-0005-0000-0000-000039050000}"/>
    <cellStyle name="Normal 20 10" xfId="1322" xr:uid="{00000000-0005-0000-0000-00003A050000}"/>
    <cellStyle name="Normal 20 11" xfId="1323" xr:uid="{00000000-0005-0000-0000-00003B050000}"/>
    <cellStyle name="Normal 20 12" xfId="1324" xr:uid="{00000000-0005-0000-0000-00003C050000}"/>
    <cellStyle name="Normal 20 13" xfId="1325" xr:uid="{00000000-0005-0000-0000-00003D050000}"/>
    <cellStyle name="Normal 20 14" xfId="1326" xr:uid="{00000000-0005-0000-0000-00003E050000}"/>
    <cellStyle name="Normal 20 2" xfId="1327" xr:uid="{00000000-0005-0000-0000-00003F050000}"/>
    <cellStyle name="Normal 20 2 10" xfId="1328" xr:uid="{00000000-0005-0000-0000-000040050000}"/>
    <cellStyle name="Normal 20 2 11" xfId="1329" xr:uid="{00000000-0005-0000-0000-000041050000}"/>
    <cellStyle name="Normal 20 2 12" xfId="1330" xr:uid="{00000000-0005-0000-0000-000042050000}"/>
    <cellStyle name="Normal 20 2 13" xfId="1331" xr:uid="{00000000-0005-0000-0000-000043050000}"/>
    <cellStyle name="Normal 20 2 14" xfId="1332" xr:uid="{00000000-0005-0000-0000-000044050000}"/>
    <cellStyle name="Normal 20 2 2" xfId="1333" xr:uid="{00000000-0005-0000-0000-000045050000}"/>
    <cellStyle name="Normal 20 2 2 2" xfId="1334" xr:uid="{00000000-0005-0000-0000-000046050000}"/>
    <cellStyle name="Normal 20 2 2 2 2" xfId="1335" xr:uid="{00000000-0005-0000-0000-000047050000}"/>
    <cellStyle name="Normal 20 2 2 2 3" xfId="1336" xr:uid="{00000000-0005-0000-0000-000048050000}"/>
    <cellStyle name="Normal 20 2 2 2 4" xfId="1337" xr:uid="{00000000-0005-0000-0000-000049050000}"/>
    <cellStyle name="Normal 20 2 2 2 5" xfId="1338" xr:uid="{00000000-0005-0000-0000-00004A050000}"/>
    <cellStyle name="Normal 20 2 2 3" xfId="1339" xr:uid="{00000000-0005-0000-0000-00004B050000}"/>
    <cellStyle name="Normal 20 2 2 4" xfId="1340" xr:uid="{00000000-0005-0000-0000-00004C050000}"/>
    <cellStyle name="Normal 20 2 2 5" xfId="1341" xr:uid="{00000000-0005-0000-0000-00004D050000}"/>
    <cellStyle name="Normal 20 2 3" xfId="1342" xr:uid="{00000000-0005-0000-0000-00004E050000}"/>
    <cellStyle name="Normal 20 2 4" xfId="1343" xr:uid="{00000000-0005-0000-0000-00004F050000}"/>
    <cellStyle name="Normal 20 2 5" xfId="1344" xr:uid="{00000000-0005-0000-0000-000050050000}"/>
    <cellStyle name="Normal 20 2 6" xfId="1345" xr:uid="{00000000-0005-0000-0000-000051050000}"/>
    <cellStyle name="Normal 20 2 7" xfId="1346" xr:uid="{00000000-0005-0000-0000-000052050000}"/>
    <cellStyle name="Normal 20 2 8" xfId="1347" xr:uid="{00000000-0005-0000-0000-000053050000}"/>
    <cellStyle name="Normal 20 2 9" xfId="1348" xr:uid="{00000000-0005-0000-0000-000054050000}"/>
    <cellStyle name="Normal 20 2_Schedule CMA" xfId="1349" xr:uid="{00000000-0005-0000-0000-000055050000}"/>
    <cellStyle name="Normal 20 3" xfId="1350" xr:uid="{00000000-0005-0000-0000-000056050000}"/>
    <cellStyle name="Normal 20 3 2" xfId="1351" xr:uid="{00000000-0005-0000-0000-000057050000}"/>
    <cellStyle name="Normal 20 3 2 2" xfId="1352" xr:uid="{00000000-0005-0000-0000-000058050000}"/>
    <cellStyle name="Normal 20 3 2 3" xfId="1353" xr:uid="{00000000-0005-0000-0000-000059050000}"/>
    <cellStyle name="Normal 20 3 2 4" xfId="1354" xr:uid="{00000000-0005-0000-0000-00005A050000}"/>
    <cellStyle name="Normal 20 3 2 5" xfId="1355" xr:uid="{00000000-0005-0000-0000-00005B050000}"/>
    <cellStyle name="Normal 20 3 3" xfId="1356" xr:uid="{00000000-0005-0000-0000-00005C050000}"/>
    <cellStyle name="Normal 20 3 4" xfId="1357" xr:uid="{00000000-0005-0000-0000-00005D050000}"/>
    <cellStyle name="Normal 20 3 5" xfId="1358" xr:uid="{00000000-0005-0000-0000-00005E050000}"/>
    <cellStyle name="Normal 20 4" xfId="1359" xr:uid="{00000000-0005-0000-0000-00005F050000}"/>
    <cellStyle name="Normal 20 5" xfId="1360" xr:uid="{00000000-0005-0000-0000-000060050000}"/>
    <cellStyle name="Normal 20 6" xfId="1361" xr:uid="{00000000-0005-0000-0000-000061050000}"/>
    <cellStyle name="Normal 20 7" xfId="1362" xr:uid="{00000000-0005-0000-0000-000062050000}"/>
    <cellStyle name="Normal 20 8" xfId="1363" xr:uid="{00000000-0005-0000-0000-000063050000}"/>
    <cellStyle name="Normal 20 9" xfId="1364" xr:uid="{00000000-0005-0000-0000-000064050000}"/>
    <cellStyle name="Normal 20_Schedule CMA" xfId="1365" xr:uid="{00000000-0005-0000-0000-000065050000}"/>
    <cellStyle name="Normal 21" xfId="1366" xr:uid="{00000000-0005-0000-0000-000066050000}"/>
    <cellStyle name="Normal 21 10" xfId="1367" xr:uid="{00000000-0005-0000-0000-000067050000}"/>
    <cellStyle name="Normal 21 11" xfId="1368" xr:uid="{00000000-0005-0000-0000-000068050000}"/>
    <cellStyle name="Normal 21 12" xfId="1369" xr:uid="{00000000-0005-0000-0000-000069050000}"/>
    <cellStyle name="Normal 21 13" xfId="1370" xr:uid="{00000000-0005-0000-0000-00006A050000}"/>
    <cellStyle name="Normal 21 14" xfId="1371" xr:uid="{00000000-0005-0000-0000-00006B050000}"/>
    <cellStyle name="Normal 21 2" xfId="1372" xr:uid="{00000000-0005-0000-0000-00006C050000}"/>
    <cellStyle name="Normal 21 2 2" xfId="1373" xr:uid="{00000000-0005-0000-0000-00006D050000}"/>
    <cellStyle name="Normal 21 2 2 2" xfId="1374" xr:uid="{00000000-0005-0000-0000-00006E050000}"/>
    <cellStyle name="Normal 21 2 2 3" xfId="1375" xr:uid="{00000000-0005-0000-0000-00006F050000}"/>
    <cellStyle name="Normal 21 2 2 4" xfId="1376" xr:uid="{00000000-0005-0000-0000-000070050000}"/>
    <cellStyle name="Normal 21 2 2 5" xfId="1377" xr:uid="{00000000-0005-0000-0000-000071050000}"/>
    <cellStyle name="Normal 21 2 3" xfId="1378" xr:uid="{00000000-0005-0000-0000-000072050000}"/>
    <cellStyle name="Normal 21 2 4" xfId="1379" xr:uid="{00000000-0005-0000-0000-000073050000}"/>
    <cellStyle name="Normal 21 2 5" xfId="1380" xr:uid="{00000000-0005-0000-0000-000074050000}"/>
    <cellStyle name="Normal 21 3" xfId="1381" xr:uid="{00000000-0005-0000-0000-000075050000}"/>
    <cellStyle name="Normal 21 4" xfId="1382" xr:uid="{00000000-0005-0000-0000-000076050000}"/>
    <cellStyle name="Normal 21 5" xfId="1383" xr:uid="{00000000-0005-0000-0000-000077050000}"/>
    <cellStyle name="Normal 21 6" xfId="1384" xr:uid="{00000000-0005-0000-0000-000078050000}"/>
    <cellStyle name="Normal 21 7" xfId="1385" xr:uid="{00000000-0005-0000-0000-000079050000}"/>
    <cellStyle name="Normal 21 8" xfId="1386" xr:uid="{00000000-0005-0000-0000-00007A050000}"/>
    <cellStyle name="Normal 21 9" xfId="1387" xr:uid="{00000000-0005-0000-0000-00007B050000}"/>
    <cellStyle name="Normal 21_Schedule CMA" xfId="1388" xr:uid="{00000000-0005-0000-0000-00007C050000}"/>
    <cellStyle name="Normal 22" xfId="1389" xr:uid="{00000000-0005-0000-0000-00007D050000}"/>
    <cellStyle name="Normal 22 10" xfId="1390" xr:uid="{00000000-0005-0000-0000-00007E050000}"/>
    <cellStyle name="Normal 22 11" xfId="1391" xr:uid="{00000000-0005-0000-0000-00007F050000}"/>
    <cellStyle name="Normal 22 12" xfId="1392" xr:uid="{00000000-0005-0000-0000-000080050000}"/>
    <cellStyle name="Normal 22 13" xfId="1393" xr:uid="{00000000-0005-0000-0000-000081050000}"/>
    <cellStyle name="Normal 22 14" xfId="1394" xr:uid="{00000000-0005-0000-0000-000082050000}"/>
    <cellStyle name="Normal 22 15" xfId="1395" xr:uid="{00000000-0005-0000-0000-000083050000}"/>
    <cellStyle name="Normal 22 2" xfId="1396" xr:uid="{00000000-0005-0000-0000-000084050000}"/>
    <cellStyle name="Normal 22 2 2" xfId="1397" xr:uid="{00000000-0005-0000-0000-000085050000}"/>
    <cellStyle name="Normal 22 2 2 2" xfId="1398" xr:uid="{00000000-0005-0000-0000-000086050000}"/>
    <cellStyle name="Normal 22 2 2 3" xfId="1399" xr:uid="{00000000-0005-0000-0000-000087050000}"/>
    <cellStyle name="Normal 22 2 2 4" xfId="1400" xr:uid="{00000000-0005-0000-0000-000088050000}"/>
    <cellStyle name="Normal 22 2 2 5" xfId="1401" xr:uid="{00000000-0005-0000-0000-000089050000}"/>
    <cellStyle name="Normal 22 2 3" xfId="1402" xr:uid="{00000000-0005-0000-0000-00008A050000}"/>
    <cellStyle name="Normal 22 2 4" xfId="1403" xr:uid="{00000000-0005-0000-0000-00008B050000}"/>
    <cellStyle name="Normal 22 2 5" xfId="1404" xr:uid="{00000000-0005-0000-0000-00008C050000}"/>
    <cellStyle name="Normal 22 3" xfId="1405" xr:uid="{00000000-0005-0000-0000-00008D050000}"/>
    <cellStyle name="Normal 22 4" xfId="1406" xr:uid="{00000000-0005-0000-0000-00008E050000}"/>
    <cellStyle name="Normal 22 4 2" xfId="1407" xr:uid="{00000000-0005-0000-0000-00008F050000}"/>
    <cellStyle name="Normal 22 4 3" xfId="1408" xr:uid="{00000000-0005-0000-0000-000090050000}"/>
    <cellStyle name="Normal 22 4 4" xfId="1409" xr:uid="{00000000-0005-0000-0000-000091050000}"/>
    <cellStyle name="Normal 22 4 5" xfId="1410" xr:uid="{00000000-0005-0000-0000-000092050000}"/>
    <cellStyle name="Normal 22 5" xfId="1411" xr:uid="{00000000-0005-0000-0000-000093050000}"/>
    <cellStyle name="Normal 22 6" xfId="1412" xr:uid="{00000000-0005-0000-0000-000094050000}"/>
    <cellStyle name="Normal 22 7" xfId="1413" xr:uid="{00000000-0005-0000-0000-000095050000}"/>
    <cellStyle name="Normal 22 8" xfId="1414" xr:uid="{00000000-0005-0000-0000-000096050000}"/>
    <cellStyle name="Normal 22 9" xfId="1415" xr:uid="{00000000-0005-0000-0000-000097050000}"/>
    <cellStyle name="Normal 22_Schedule CMA" xfId="1416" xr:uid="{00000000-0005-0000-0000-000098050000}"/>
    <cellStyle name="Normal 23" xfId="1417" xr:uid="{00000000-0005-0000-0000-000099050000}"/>
    <cellStyle name="Normal 23 2" xfId="1418" xr:uid="{00000000-0005-0000-0000-00009A050000}"/>
    <cellStyle name="Normal 24" xfId="1419" xr:uid="{00000000-0005-0000-0000-00009B050000}"/>
    <cellStyle name="Normal 24 10" xfId="1420" xr:uid="{00000000-0005-0000-0000-00009C050000}"/>
    <cellStyle name="Normal 24 11" xfId="1421" xr:uid="{00000000-0005-0000-0000-00009D050000}"/>
    <cellStyle name="Normal 24 12" xfId="1422" xr:uid="{00000000-0005-0000-0000-00009E050000}"/>
    <cellStyle name="Normal 24 13" xfId="1423" xr:uid="{00000000-0005-0000-0000-00009F050000}"/>
    <cellStyle name="Normal 24 14" xfId="1424" xr:uid="{00000000-0005-0000-0000-0000A0050000}"/>
    <cellStyle name="Normal 24 2" xfId="1425" xr:uid="{00000000-0005-0000-0000-0000A1050000}"/>
    <cellStyle name="Normal 24 2 2" xfId="1426" xr:uid="{00000000-0005-0000-0000-0000A2050000}"/>
    <cellStyle name="Normal 24 2 2 2" xfId="1427" xr:uid="{00000000-0005-0000-0000-0000A3050000}"/>
    <cellStyle name="Normal 24 2 2 3" xfId="1428" xr:uid="{00000000-0005-0000-0000-0000A4050000}"/>
    <cellStyle name="Normal 24 2 2 4" xfId="1429" xr:uid="{00000000-0005-0000-0000-0000A5050000}"/>
    <cellStyle name="Normal 24 2 2 5" xfId="1430" xr:uid="{00000000-0005-0000-0000-0000A6050000}"/>
    <cellStyle name="Normal 24 2 3" xfId="1431" xr:uid="{00000000-0005-0000-0000-0000A7050000}"/>
    <cellStyle name="Normal 24 2 4" xfId="1432" xr:uid="{00000000-0005-0000-0000-0000A8050000}"/>
    <cellStyle name="Normal 24 2 5" xfId="1433" xr:uid="{00000000-0005-0000-0000-0000A9050000}"/>
    <cellStyle name="Normal 24 3" xfId="1434" xr:uid="{00000000-0005-0000-0000-0000AA050000}"/>
    <cellStyle name="Normal 24 3 2" xfId="1435" xr:uid="{00000000-0005-0000-0000-0000AB050000}"/>
    <cellStyle name="Normal 24 3 3" xfId="1436" xr:uid="{00000000-0005-0000-0000-0000AC050000}"/>
    <cellStyle name="Normal 24 3 4" xfId="1437" xr:uid="{00000000-0005-0000-0000-0000AD050000}"/>
    <cellStyle name="Normal 24 3 5" xfId="1438" xr:uid="{00000000-0005-0000-0000-0000AE050000}"/>
    <cellStyle name="Normal 24 4" xfId="1439" xr:uid="{00000000-0005-0000-0000-0000AF050000}"/>
    <cellStyle name="Normal 24 5" xfId="1440" xr:uid="{00000000-0005-0000-0000-0000B0050000}"/>
    <cellStyle name="Normal 24 6" xfId="1441" xr:uid="{00000000-0005-0000-0000-0000B1050000}"/>
    <cellStyle name="Normal 24 7" xfId="1442" xr:uid="{00000000-0005-0000-0000-0000B2050000}"/>
    <cellStyle name="Normal 24 8" xfId="1443" xr:uid="{00000000-0005-0000-0000-0000B3050000}"/>
    <cellStyle name="Normal 24 9" xfId="1444" xr:uid="{00000000-0005-0000-0000-0000B4050000}"/>
    <cellStyle name="Normal 24_Schedule CMA" xfId="1445" xr:uid="{00000000-0005-0000-0000-0000B5050000}"/>
    <cellStyle name="Normal 25" xfId="1446" xr:uid="{00000000-0005-0000-0000-0000B6050000}"/>
    <cellStyle name="Normal 25 10" xfId="1447" xr:uid="{00000000-0005-0000-0000-0000B7050000}"/>
    <cellStyle name="Normal 25 11" xfId="1448" xr:uid="{00000000-0005-0000-0000-0000B8050000}"/>
    <cellStyle name="Normal 25 12" xfId="1449" xr:uid="{00000000-0005-0000-0000-0000B9050000}"/>
    <cellStyle name="Normal 25 13" xfId="1450" xr:uid="{00000000-0005-0000-0000-0000BA050000}"/>
    <cellStyle name="Normal 25 14" xfId="1451" xr:uid="{00000000-0005-0000-0000-0000BB050000}"/>
    <cellStyle name="Normal 25 2" xfId="1452" xr:uid="{00000000-0005-0000-0000-0000BC050000}"/>
    <cellStyle name="Normal 25 2 2" xfId="1453" xr:uid="{00000000-0005-0000-0000-0000BD050000}"/>
    <cellStyle name="Normal 25 2 3" xfId="1454" xr:uid="{00000000-0005-0000-0000-0000BE050000}"/>
    <cellStyle name="Normal 25 2 4" xfId="1455" xr:uid="{00000000-0005-0000-0000-0000BF050000}"/>
    <cellStyle name="Normal 25 2 5" xfId="1456" xr:uid="{00000000-0005-0000-0000-0000C0050000}"/>
    <cellStyle name="Normal 25 3" xfId="1457" xr:uid="{00000000-0005-0000-0000-0000C1050000}"/>
    <cellStyle name="Normal 25 3 2" xfId="1458" xr:uid="{00000000-0005-0000-0000-0000C2050000}"/>
    <cellStyle name="Normal 25 3 3" xfId="1459" xr:uid="{00000000-0005-0000-0000-0000C3050000}"/>
    <cellStyle name="Normal 25 3 4" xfId="1460" xr:uid="{00000000-0005-0000-0000-0000C4050000}"/>
    <cellStyle name="Normal 25 3 5" xfId="1461" xr:uid="{00000000-0005-0000-0000-0000C5050000}"/>
    <cellStyle name="Normal 25 4" xfId="1462" xr:uid="{00000000-0005-0000-0000-0000C6050000}"/>
    <cellStyle name="Normal 25 5" xfId="1463" xr:uid="{00000000-0005-0000-0000-0000C7050000}"/>
    <cellStyle name="Normal 25 6" xfId="1464" xr:uid="{00000000-0005-0000-0000-0000C8050000}"/>
    <cellStyle name="Normal 25 7" xfId="1465" xr:uid="{00000000-0005-0000-0000-0000C9050000}"/>
    <cellStyle name="Normal 25 8" xfId="1466" xr:uid="{00000000-0005-0000-0000-0000CA050000}"/>
    <cellStyle name="Normal 25 9" xfId="1467" xr:uid="{00000000-0005-0000-0000-0000CB050000}"/>
    <cellStyle name="Normal 25_Schedule CMA" xfId="1468" xr:uid="{00000000-0005-0000-0000-0000CC050000}"/>
    <cellStyle name="Normal 26" xfId="1469" xr:uid="{00000000-0005-0000-0000-0000CD050000}"/>
    <cellStyle name="Normal 26 10" xfId="1470" xr:uid="{00000000-0005-0000-0000-0000CE050000}"/>
    <cellStyle name="Normal 26 11" xfId="1471" xr:uid="{00000000-0005-0000-0000-0000CF050000}"/>
    <cellStyle name="Normal 26 12" xfId="1472" xr:uid="{00000000-0005-0000-0000-0000D0050000}"/>
    <cellStyle name="Normal 26 13" xfId="1473" xr:uid="{00000000-0005-0000-0000-0000D1050000}"/>
    <cellStyle name="Normal 26 14" xfId="1474" xr:uid="{00000000-0005-0000-0000-0000D2050000}"/>
    <cellStyle name="Normal 26 2" xfId="1475" xr:uid="{00000000-0005-0000-0000-0000D3050000}"/>
    <cellStyle name="Normal 26 2 2" xfId="1476" xr:uid="{00000000-0005-0000-0000-0000D4050000}"/>
    <cellStyle name="Normal 26 2 3" xfId="1477" xr:uid="{00000000-0005-0000-0000-0000D5050000}"/>
    <cellStyle name="Normal 26 2 4" xfId="1478" xr:uid="{00000000-0005-0000-0000-0000D6050000}"/>
    <cellStyle name="Normal 26 2 5" xfId="1479" xr:uid="{00000000-0005-0000-0000-0000D7050000}"/>
    <cellStyle name="Normal 26 3" xfId="1480" xr:uid="{00000000-0005-0000-0000-0000D8050000}"/>
    <cellStyle name="Normal 26 3 2" xfId="1481" xr:uid="{00000000-0005-0000-0000-0000D9050000}"/>
    <cellStyle name="Normal 26 3 3" xfId="1482" xr:uid="{00000000-0005-0000-0000-0000DA050000}"/>
    <cellStyle name="Normal 26 3 4" xfId="1483" xr:uid="{00000000-0005-0000-0000-0000DB050000}"/>
    <cellStyle name="Normal 26 3 5" xfId="1484" xr:uid="{00000000-0005-0000-0000-0000DC050000}"/>
    <cellStyle name="Normal 26 4" xfId="1485" xr:uid="{00000000-0005-0000-0000-0000DD050000}"/>
    <cellStyle name="Normal 26 5" xfId="1486" xr:uid="{00000000-0005-0000-0000-0000DE050000}"/>
    <cellStyle name="Normal 26 6" xfId="1487" xr:uid="{00000000-0005-0000-0000-0000DF050000}"/>
    <cellStyle name="Normal 26 7" xfId="1488" xr:uid="{00000000-0005-0000-0000-0000E0050000}"/>
    <cellStyle name="Normal 26 8" xfId="1489" xr:uid="{00000000-0005-0000-0000-0000E1050000}"/>
    <cellStyle name="Normal 26 9" xfId="1490" xr:uid="{00000000-0005-0000-0000-0000E2050000}"/>
    <cellStyle name="Normal 26_Schedule CMA" xfId="1491" xr:uid="{00000000-0005-0000-0000-0000E3050000}"/>
    <cellStyle name="Normal 27" xfId="1492" xr:uid="{00000000-0005-0000-0000-0000E4050000}"/>
    <cellStyle name="Normal 27 10" xfId="1493" xr:uid="{00000000-0005-0000-0000-0000E5050000}"/>
    <cellStyle name="Normal 27 11" xfId="1494" xr:uid="{00000000-0005-0000-0000-0000E6050000}"/>
    <cellStyle name="Normal 27 12" xfId="1495" xr:uid="{00000000-0005-0000-0000-0000E7050000}"/>
    <cellStyle name="Normal 27 13" xfId="1496" xr:uid="{00000000-0005-0000-0000-0000E8050000}"/>
    <cellStyle name="Normal 27 14" xfId="1497" xr:uid="{00000000-0005-0000-0000-0000E9050000}"/>
    <cellStyle name="Normal 27 2" xfId="1498" xr:uid="{00000000-0005-0000-0000-0000EA050000}"/>
    <cellStyle name="Normal 27 2 2" xfId="1499" xr:uid="{00000000-0005-0000-0000-0000EB050000}"/>
    <cellStyle name="Normal 27 2 3" xfId="1500" xr:uid="{00000000-0005-0000-0000-0000EC050000}"/>
    <cellStyle name="Normal 27 2 4" xfId="1501" xr:uid="{00000000-0005-0000-0000-0000ED050000}"/>
    <cellStyle name="Normal 27 2 5" xfId="1502" xr:uid="{00000000-0005-0000-0000-0000EE050000}"/>
    <cellStyle name="Normal 27 3" xfId="1503" xr:uid="{00000000-0005-0000-0000-0000EF050000}"/>
    <cellStyle name="Normal 27 3 2" xfId="1504" xr:uid="{00000000-0005-0000-0000-0000F0050000}"/>
    <cellStyle name="Normal 27 3 3" xfId="1505" xr:uid="{00000000-0005-0000-0000-0000F1050000}"/>
    <cellStyle name="Normal 27 3 4" xfId="1506" xr:uid="{00000000-0005-0000-0000-0000F2050000}"/>
    <cellStyle name="Normal 27 3 5" xfId="1507" xr:uid="{00000000-0005-0000-0000-0000F3050000}"/>
    <cellStyle name="Normal 27 4" xfId="1508" xr:uid="{00000000-0005-0000-0000-0000F4050000}"/>
    <cellStyle name="Normal 27 5" xfId="1509" xr:uid="{00000000-0005-0000-0000-0000F5050000}"/>
    <cellStyle name="Normal 27 6" xfId="1510" xr:uid="{00000000-0005-0000-0000-0000F6050000}"/>
    <cellStyle name="Normal 27 7" xfId="1511" xr:uid="{00000000-0005-0000-0000-0000F7050000}"/>
    <cellStyle name="Normal 27 8" xfId="1512" xr:uid="{00000000-0005-0000-0000-0000F8050000}"/>
    <cellStyle name="Normal 27 9" xfId="1513" xr:uid="{00000000-0005-0000-0000-0000F9050000}"/>
    <cellStyle name="Normal 27_Schedule CMA" xfId="1514" xr:uid="{00000000-0005-0000-0000-0000FA050000}"/>
    <cellStyle name="Normal 28" xfId="1515" xr:uid="{00000000-0005-0000-0000-0000FB050000}"/>
    <cellStyle name="Normal 29" xfId="1516" xr:uid="{00000000-0005-0000-0000-0000FC050000}"/>
    <cellStyle name="Normal 29 2" xfId="1517" xr:uid="{00000000-0005-0000-0000-0000FD050000}"/>
    <cellStyle name="Normal 3" xfId="1518" xr:uid="{00000000-0005-0000-0000-0000FE050000}"/>
    <cellStyle name="Normal 3 10" xfId="1519" xr:uid="{00000000-0005-0000-0000-0000FF050000}"/>
    <cellStyle name="Normal 3 11" xfId="1520" xr:uid="{00000000-0005-0000-0000-000000060000}"/>
    <cellStyle name="Normal 3 12" xfId="1521" xr:uid="{00000000-0005-0000-0000-000001060000}"/>
    <cellStyle name="Normal 3 13" xfId="1522" xr:uid="{00000000-0005-0000-0000-000002060000}"/>
    <cellStyle name="Normal 3 14" xfId="1523" xr:uid="{00000000-0005-0000-0000-000003060000}"/>
    <cellStyle name="Normal 3 15" xfId="1524" xr:uid="{00000000-0005-0000-0000-000004060000}"/>
    <cellStyle name="Normal 3 16" xfId="1525" xr:uid="{00000000-0005-0000-0000-000005060000}"/>
    <cellStyle name="Normal 3 2" xfId="1526" xr:uid="{00000000-0005-0000-0000-000006060000}"/>
    <cellStyle name="Normal 3 3" xfId="1527" xr:uid="{00000000-0005-0000-0000-000007060000}"/>
    <cellStyle name="Normal 3 4" xfId="1528" xr:uid="{00000000-0005-0000-0000-000008060000}"/>
    <cellStyle name="Normal 3 4 2" xfId="1529" xr:uid="{00000000-0005-0000-0000-000009060000}"/>
    <cellStyle name="Normal 3 4 2 2" xfId="1530" xr:uid="{00000000-0005-0000-0000-00000A060000}"/>
    <cellStyle name="Normal 3 4 2 3" xfId="1531" xr:uid="{00000000-0005-0000-0000-00000B060000}"/>
    <cellStyle name="Normal 3 4 2 4" xfId="1532" xr:uid="{00000000-0005-0000-0000-00000C060000}"/>
    <cellStyle name="Normal 3 4 2 5" xfId="1533" xr:uid="{00000000-0005-0000-0000-00000D060000}"/>
    <cellStyle name="Normal 3 4 3" xfId="1534" xr:uid="{00000000-0005-0000-0000-00000E060000}"/>
    <cellStyle name="Normal 3 4 4" xfId="1535" xr:uid="{00000000-0005-0000-0000-00000F060000}"/>
    <cellStyle name="Normal 3 4 5" xfId="1536" xr:uid="{00000000-0005-0000-0000-000010060000}"/>
    <cellStyle name="Normal 3 5" xfId="1537" xr:uid="{00000000-0005-0000-0000-000011060000}"/>
    <cellStyle name="Normal 3 6" xfId="1538" xr:uid="{00000000-0005-0000-0000-000012060000}"/>
    <cellStyle name="Normal 3 7" xfId="1539" xr:uid="{00000000-0005-0000-0000-000013060000}"/>
    <cellStyle name="Normal 3 8" xfId="1540" xr:uid="{00000000-0005-0000-0000-000014060000}"/>
    <cellStyle name="Normal 3 9" xfId="1541" xr:uid="{00000000-0005-0000-0000-000015060000}"/>
    <cellStyle name="Normal 3_Schedule CMA" xfId="1542" xr:uid="{00000000-0005-0000-0000-000016060000}"/>
    <cellStyle name="Normal 30" xfId="1543" xr:uid="{00000000-0005-0000-0000-000017060000}"/>
    <cellStyle name="Normal 30 2" xfId="1544" xr:uid="{00000000-0005-0000-0000-000018060000}"/>
    <cellStyle name="Normal 30 3" xfId="1545" xr:uid="{00000000-0005-0000-0000-000019060000}"/>
    <cellStyle name="Normal 30 4" xfId="1546" xr:uid="{00000000-0005-0000-0000-00001A060000}"/>
    <cellStyle name="Normal 30 5" xfId="1547" xr:uid="{00000000-0005-0000-0000-00001B060000}"/>
    <cellStyle name="Normal 31" xfId="1548" xr:uid="{00000000-0005-0000-0000-00001C060000}"/>
    <cellStyle name="Normal 32" xfId="1549" xr:uid="{00000000-0005-0000-0000-00001D060000}"/>
    <cellStyle name="Normal 32 2" xfId="1550" xr:uid="{00000000-0005-0000-0000-00001E060000}"/>
    <cellStyle name="Normal 32 3" xfId="1551" xr:uid="{00000000-0005-0000-0000-00001F060000}"/>
    <cellStyle name="Normal 32 4" xfId="1552" xr:uid="{00000000-0005-0000-0000-000020060000}"/>
    <cellStyle name="Normal 32 5" xfId="1553" xr:uid="{00000000-0005-0000-0000-000021060000}"/>
    <cellStyle name="Normal 33" xfId="1554" xr:uid="{00000000-0005-0000-0000-000022060000}"/>
    <cellStyle name="Normal 33 2" xfId="1555" xr:uid="{00000000-0005-0000-0000-000023060000}"/>
    <cellStyle name="Normal 33 3" xfId="1556" xr:uid="{00000000-0005-0000-0000-000024060000}"/>
    <cellStyle name="Normal 33 4" xfId="1557" xr:uid="{00000000-0005-0000-0000-000025060000}"/>
    <cellStyle name="Normal 33 5" xfId="1558" xr:uid="{00000000-0005-0000-0000-000026060000}"/>
    <cellStyle name="Normal 34" xfId="1559" xr:uid="{00000000-0005-0000-0000-000027060000}"/>
    <cellStyle name="Normal 34 2" xfId="1560" xr:uid="{00000000-0005-0000-0000-000028060000}"/>
    <cellStyle name="Normal 34 3" xfId="1561" xr:uid="{00000000-0005-0000-0000-000029060000}"/>
    <cellStyle name="Normal 34 4" xfId="1562" xr:uid="{00000000-0005-0000-0000-00002A060000}"/>
    <cellStyle name="Normal 34 5" xfId="1563" xr:uid="{00000000-0005-0000-0000-00002B060000}"/>
    <cellStyle name="Normal 35" xfId="1564" xr:uid="{00000000-0005-0000-0000-00002C060000}"/>
    <cellStyle name="Normal 35 2" xfId="1565" xr:uid="{00000000-0005-0000-0000-00002D060000}"/>
    <cellStyle name="Normal 35 3" xfId="1566" xr:uid="{00000000-0005-0000-0000-00002E060000}"/>
    <cellStyle name="Normal 35 4" xfId="1567" xr:uid="{00000000-0005-0000-0000-00002F060000}"/>
    <cellStyle name="Normal 35 5" xfId="1568" xr:uid="{00000000-0005-0000-0000-000030060000}"/>
    <cellStyle name="Normal 36" xfId="1569" xr:uid="{00000000-0005-0000-0000-000031060000}"/>
    <cellStyle name="Normal 36 2" xfId="1570" xr:uid="{00000000-0005-0000-0000-000032060000}"/>
    <cellStyle name="Normal 36 3" xfId="1571" xr:uid="{00000000-0005-0000-0000-000033060000}"/>
    <cellStyle name="Normal 36 4" xfId="1572" xr:uid="{00000000-0005-0000-0000-000034060000}"/>
    <cellStyle name="Normal 36 5" xfId="1573" xr:uid="{00000000-0005-0000-0000-000035060000}"/>
    <cellStyle name="Normal 37" xfId="1574" xr:uid="{00000000-0005-0000-0000-000036060000}"/>
    <cellStyle name="Normal 38" xfId="1575" xr:uid="{00000000-0005-0000-0000-000037060000}"/>
    <cellStyle name="Normal 39" xfId="1576" xr:uid="{00000000-0005-0000-0000-000038060000}"/>
    <cellStyle name="Normal 39 2" xfId="1577" xr:uid="{00000000-0005-0000-0000-000039060000}"/>
    <cellStyle name="Normal 39 3" xfId="1578" xr:uid="{00000000-0005-0000-0000-00003A060000}"/>
    <cellStyle name="Normal 39 4" xfId="1579" xr:uid="{00000000-0005-0000-0000-00003B060000}"/>
    <cellStyle name="Normal 39 5" xfId="1580" xr:uid="{00000000-0005-0000-0000-00003C060000}"/>
    <cellStyle name="Normal 4" xfId="1581" xr:uid="{00000000-0005-0000-0000-00003D060000}"/>
    <cellStyle name="Normal 4 10" xfId="1582" xr:uid="{00000000-0005-0000-0000-00003E060000}"/>
    <cellStyle name="Normal 4 11" xfId="1583" xr:uid="{00000000-0005-0000-0000-00003F060000}"/>
    <cellStyle name="Normal 4 12" xfId="1584" xr:uid="{00000000-0005-0000-0000-000040060000}"/>
    <cellStyle name="Normal 4 13" xfId="1585" xr:uid="{00000000-0005-0000-0000-000041060000}"/>
    <cellStyle name="Normal 4 14" xfId="1586" xr:uid="{00000000-0005-0000-0000-000042060000}"/>
    <cellStyle name="Normal 4 2" xfId="1587" xr:uid="{00000000-0005-0000-0000-000043060000}"/>
    <cellStyle name="Normal 4 2 10" xfId="1588" xr:uid="{00000000-0005-0000-0000-000044060000}"/>
    <cellStyle name="Normal 4 2 11" xfId="1589" xr:uid="{00000000-0005-0000-0000-000045060000}"/>
    <cellStyle name="Normal 4 2 12" xfId="1590" xr:uid="{00000000-0005-0000-0000-000046060000}"/>
    <cellStyle name="Normal 4 2 13" xfId="1591" xr:uid="{00000000-0005-0000-0000-000047060000}"/>
    <cellStyle name="Normal 4 2 14" xfId="1592" xr:uid="{00000000-0005-0000-0000-000048060000}"/>
    <cellStyle name="Normal 4 2 2" xfId="1593" xr:uid="{00000000-0005-0000-0000-000049060000}"/>
    <cellStyle name="Normal 4 2 2 2" xfId="1594" xr:uid="{00000000-0005-0000-0000-00004A060000}"/>
    <cellStyle name="Normal 4 2 2 2 2" xfId="1595" xr:uid="{00000000-0005-0000-0000-00004B060000}"/>
    <cellStyle name="Normal 4 2 2 2 3" xfId="1596" xr:uid="{00000000-0005-0000-0000-00004C060000}"/>
    <cellStyle name="Normal 4 2 2 2 4" xfId="1597" xr:uid="{00000000-0005-0000-0000-00004D060000}"/>
    <cellStyle name="Normal 4 2 2 2 5" xfId="1598" xr:uid="{00000000-0005-0000-0000-00004E060000}"/>
    <cellStyle name="Normal 4 2 2 3" xfId="1599" xr:uid="{00000000-0005-0000-0000-00004F060000}"/>
    <cellStyle name="Normal 4 2 2 4" xfId="1600" xr:uid="{00000000-0005-0000-0000-000050060000}"/>
    <cellStyle name="Normal 4 2 2 5" xfId="1601" xr:uid="{00000000-0005-0000-0000-000051060000}"/>
    <cellStyle name="Normal 4 2 3" xfId="1602" xr:uid="{00000000-0005-0000-0000-000052060000}"/>
    <cellStyle name="Normal 4 2 4" xfId="1603" xr:uid="{00000000-0005-0000-0000-000053060000}"/>
    <cellStyle name="Normal 4 2 5" xfId="1604" xr:uid="{00000000-0005-0000-0000-000054060000}"/>
    <cellStyle name="Normal 4 2 6" xfId="1605" xr:uid="{00000000-0005-0000-0000-000055060000}"/>
    <cellStyle name="Normal 4 2 7" xfId="1606" xr:uid="{00000000-0005-0000-0000-000056060000}"/>
    <cellStyle name="Normal 4 2 8" xfId="1607" xr:uid="{00000000-0005-0000-0000-000057060000}"/>
    <cellStyle name="Normal 4 2 9" xfId="1608" xr:uid="{00000000-0005-0000-0000-000058060000}"/>
    <cellStyle name="Normal 4 2_Schedule CMA" xfId="1609" xr:uid="{00000000-0005-0000-0000-000059060000}"/>
    <cellStyle name="Normal 4 3" xfId="1610" xr:uid="{00000000-0005-0000-0000-00005A060000}"/>
    <cellStyle name="Normal 4 3 2" xfId="1611" xr:uid="{00000000-0005-0000-0000-00005B060000}"/>
    <cellStyle name="Normal 4 3 2 2" xfId="1612" xr:uid="{00000000-0005-0000-0000-00005C060000}"/>
    <cellStyle name="Normal 4 3 2 3" xfId="1613" xr:uid="{00000000-0005-0000-0000-00005D060000}"/>
    <cellStyle name="Normal 4 3 2 4" xfId="1614" xr:uid="{00000000-0005-0000-0000-00005E060000}"/>
    <cellStyle name="Normal 4 3 2 5" xfId="1615" xr:uid="{00000000-0005-0000-0000-00005F060000}"/>
    <cellStyle name="Normal 4 3 3" xfId="1616" xr:uid="{00000000-0005-0000-0000-000060060000}"/>
    <cellStyle name="Normal 4 3 4" xfId="1617" xr:uid="{00000000-0005-0000-0000-000061060000}"/>
    <cellStyle name="Normal 4 3 5" xfId="1618" xr:uid="{00000000-0005-0000-0000-000062060000}"/>
    <cellStyle name="Normal 4 4" xfId="1619" xr:uid="{00000000-0005-0000-0000-000063060000}"/>
    <cellStyle name="Normal 4 5" xfId="1620" xr:uid="{00000000-0005-0000-0000-000064060000}"/>
    <cellStyle name="Normal 4 6" xfId="1621" xr:uid="{00000000-0005-0000-0000-000065060000}"/>
    <cellStyle name="Normal 4 7" xfId="1622" xr:uid="{00000000-0005-0000-0000-000066060000}"/>
    <cellStyle name="Normal 4 8" xfId="1623" xr:uid="{00000000-0005-0000-0000-000067060000}"/>
    <cellStyle name="Normal 4 9" xfId="1624" xr:uid="{00000000-0005-0000-0000-000068060000}"/>
    <cellStyle name="Normal 4_3CD_2010-11_annexures" xfId="1625" xr:uid="{00000000-0005-0000-0000-000069060000}"/>
    <cellStyle name="Normal 40" xfId="1626" xr:uid="{00000000-0005-0000-0000-00006A060000}"/>
    <cellStyle name="Normal 40 2" xfId="1627" xr:uid="{00000000-0005-0000-0000-00006B060000}"/>
    <cellStyle name="Normal 40 3" xfId="1628" xr:uid="{00000000-0005-0000-0000-00006C060000}"/>
    <cellStyle name="Normal 40 4" xfId="1629" xr:uid="{00000000-0005-0000-0000-00006D060000}"/>
    <cellStyle name="Normal 40 5" xfId="1630" xr:uid="{00000000-0005-0000-0000-00006E060000}"/>
    <cellStyle name="Normal 41" xfId="1631" xr:uid="{00000000-0005-0000-0000-00006F060000}"/>
    <cellStyle name="Normal 41 2" xfId="1632" xr:uid="{00000000-0005-0000-0000-000070060000}"/>
    <cellStyle name="Normal 41 3" xfId="1633" xr:uid="{00000000-0005-0000-0000-000071060000}"/>
    <cellStyle name="Normal 41 4" xfId="1634" xr:uid="{00000000-0005-0000-0000-000072060000}"/>
    <cellStyle name="Normal 41 5" xfId="1635" xr:uid="{00000000-0005-0000-0000-000073060000}"/>
    <cellStyle name="Normal 42" xfId="1636" xr:uid="{00000000-0005-0000-0000-000074060000}"/>
    <cellStyle name="Normal 42 2" xfId="1637" xr:uid="{00000000-0005-0000-0000-000075060000}"/>
    <cellStyle name="Normal 42 3" xfId="1638" xr:uid="{00000000-0005-0000-0000-000076060000}"/>
    <cellStyle name="Normal 42 4" xfId="1639" xr:uid="{00000000-0005-0000-0000-000077060000}"/>
    <cellStyle name="Normal 42 5" xfId="1640" xr:uid="{00000000-0005-0000-0000-000078060000}"/>
    <cellStyle name="Normal 43" xfId="1641" xr:uid="{00000000-0005-0000-0000-000079060000}"/>
    <cellStyle name="Normal 44" xfId="1642" xr:uid="{00000000-0005-0000-0000-00007A060000}"/>
    <cellStyle name="Normal 45" xfId="1643" xr:uid="{00000000-0005-0000-0000-00007B060000}"/>
    <cellStyle name="Normal 45 2" xfId="1644" xr:uid="{00000000-0005-0000-0000-00007C060000}"/>
    <cellStyle name="Normal 45 3" xfId="1645" xr:uid="{00000000-0005-0000-0000-00007D060000}"/>
    <cellStyle name="Normal 45 4" xfId="1646" xr:uid="{00000000-0005-0000-0000-00007E060000}"/>
    <cellStyle name="Normal 45 5" xfId="1647" xr:uid="{00000000-0005-0000-0000-00007F060000}"/>
    <cellStyle name="Normal 46" xfId="1648" xr:uid="{00000000-0005-0000-0000-000080060000}"/>
    <cellStyle name="Normal 46 2" xfId="1649" xr:uid="{00000000-0005-0000-0000-000081060000}"/>
    <cellStyle name="Normal 46 3" xfId="1650" xr:uid="{00000000-0005-0000-0000-000082060000}"/>
    <cellStyle name="Normal 46 4" xfId="1651" xr:uid="{00000000-0005-0000-0000-000083060000}"/>
    <cellStyle name="Normal 46 5" xfId="1652" xr:uid="{00000000-0005-0000-0000-000084060000}"/>
    <cellStyle name="Normal 47" xfId="1653" xr:uid="{00000000-0005-0000-0000-000085060000}"/>
    <cellStyle name="Normal 47 2" xfId="1654" xr:uid="{00000000-0005-0000-0000-000086060000}"/>
    <cellStyle name="Normal 47 3" xfId="1655" xr:uid="{00000000-0005-0000-0000-000087060000}"/>
    <cellStyle name="Normal 47 4" xfId="1656" xr:uid="{00000000-0005-0000-0000-000088060000}"/>
    <cellStyle name="Normal 47 5" xfId="1657" xr:uid="{00000000-0005-0000-0000-000089060000}"/>
    <cellStyle name="Normal 5" xfId="1658" xr:uid="{00000000-0005-0000-0000-00008A060000}"/>
    <cellStyle name="Normal 5 10" xfId="1659" xr:uid="{00000000-0005-0000-0000-00008B060000}"/>
    <cellStyle name="Normal 5 11" xfId="1660" xr:uid="{00000000-0005-0000-0000-00008C060000}"/>
    <cellStyle name="Normal 5 12" xfId="1661" xr:uid="{00000000-0005-0000-0000-00008D060000}"/>
    <cellStyle name="Normal 5 13" xfId="1662" xr:uid="{00000000-0005-0000-0000-00008E060000}"/>
    <cellStyle name="Normal 5 14" xfId="1663" xr:uid="{00000000-0005-0000-0000-00008F060000}"/>
    <cellStyle name="Normal 5 2" xfId="1664" xr:uid="{00000000-0005-0000-0000-000090060000}"/>
    <cellStyle name="Normal 5 3" xfId="1665" xr:uid="{00000000-0005-0000-0000-000091060000}"/>
    <cellStyle name="Normal 5 3 2" xfId="1666" xr:uid="{00000000-0005-0000-0000-000092060000}"/>
    <cellStyle name="Normal 5 3 2 2" xfId="1667" xr:uid="{00000000-0005-0000-0000-000093060000}"/>
    <cellStyle name="Normal 5 3 2 3" xfId="1668" xr:uid="{00000000-0005-0000-0000-000094060000}"/>
    <cellStyle name="Normal 5 3 2 4" xfId="1669" xr:uid="{00000000-0005-0000-0000-000095060000}"/>
    <cellStyle name="Normal 5 3 2 5" xfId="1670" xr:uid="{00000000-0005-0000-0000-000096060000}"/>
    <cellStyle name="Normal 5 3 3" xfId="1671" xr:uid="{00000000-0005-0000-0000-000097060000}"/>
    <cellStyle name="Normal 5 3 4" xfId="1672" xr:uid="{00000000-0005-0000-0000-000098060000}"/>
    <cellStyle name="Normal 5 3 5" xfId="1673" xr:uid="{00000000-0005-0000-0000-000099060000}"/>
    <cellStyle name="Normal 5 4" xfId="1674" xr:uid="{00000000-0005-0000-0000-00009A060000}"/>
    <cellStyle name="Normal 5 5" xfId="1675" xr:uid="{00000000-0005-0000-0000-00009B060000}"/>
    <cellStyle name="Normal 5 6" xfId="1676" xr:uid="{00000000-0005-0000-0000-00009C060000}"/>
    <cellStyle name="Normal 5 7" xfId="1677" xr:uid="{00000000-0005-0000-0000-00009D060000}"/>
    <cellStyle name="Normal 5 8" xfId="1678" xr:uid="{00000000-0005-0000-0000-00009E060000}"/>
    <cellStyle name="Normal 5 9" xfId="1679" xr:uid="{00000000-0005-0000-0000-00009F060000}"/>
    <cellStyle name="Normal 5_3CD_2010-11_annexures" xfId="1680" xr:uid="{00000000-0005-0000-0000-0000A0060000}"/>
    <cellStyle name="Normal 6" xfId="1681" xr:uid="{00000000-0005-0000-0000-0000A1060000}"/>
    <cellStyle name="Normal 6 10" xfId="1682" xr:uid="{00000000-0005-0000-0000-0000A2060000}"/>
    <cellStyle name="Normal 6 11" xfId="1683" xr:uid="{00000000-0005-0000-0000-0000A3060000}"/>
    <cellStyle name="Normal 6 12" xfId="1684" xr:uid="{00000000-0005-0000-0000-0000A4060000}"/>
    <cellStyle name="Normal 6 13" xfId="1685" xr:uid="{00000000-0005-0000-0000-0000A5060000}"/>
    <cellStyle name="Normal 6 14" xfId="1686" xr:uid="{00000000-0005-0000-0000-0000A6060000}"/>
    <cellStyle name="Normal 6 2" xfId="1687" xr:uid="{00000000-0005-0000-0000-0000A7060000}"/>
    <cellStyle name="Normal 6 2 10" xfId="1688" xr:uid="{00000000-0005-0000-0000-0000A8060000}"/>
    <cellStyle name="Normal 6 2 11" xfId="1689" xr:uid="{00000000-0005-0000-0000-0000A9060000}"/>
    <cellStyle name="Normal 6 2 12" xfId="1690" xr:uid="{00000000-0005-0000-0000-0000AA060000}"/>
    <cellStyle name="Normal 6 2 13" xfId="1691" xr:uid="{00000000-0005-0000-0000-0000AB060000}"/>
    <cellStyle name="Normal 6 2 14" xfId="1692" xr:uid="{00000000-0005-0000-0000-0000AC060000}"/>
    <cellStyle name="Normal 6 2 2" xfId="1693" xr:uid="{00000000-0005-0000-0000-0000AD060000}"/>
    <cellStyle name="Normal 6 2 2 2" xfId="1694" xr:uid="{00000000-0005-0000-0000-0000AE060000}"/>
    <cellStyle name="Normal 6 2 2 2 2" xfId="1695" xr:uid="{00000000-0005-0000-0000-0000AF060000}"/>
    <cellStyle name="Normal 6 2 2 2 3" xfId="1696" xr:uid="{00000000-0005-0000-0000-0000B0060000}"/>
    <cellStyle name="Normal 6 2 2 2 4" xfId="1697" xr:uid="{00000000-0005-0000-0000-0000B1060000}"/>
    <cellStyle name="Normal 6 2 2 2 5" xfId="1698" xr:uid="{00000000-0005-0000-0000-0000B2060000}"/>
    <cellStyle name="Normal 6 2 2 3" xfId="1699" xr:uid="{00000000-0005-0000-0000-0000B3060000}"/>
    <cellStyle name="Normal 6 2 2 4" xfId="1700" xr:uid="{00000000-0005-0000-0000-0000B4060000}"/>
    <cellStyle name="Normal 6 2 2 5" xfId="1701" xr:uid="{00000000-0005-0000-0000-0000B5060000}"/>
    <cellStyle name="Normal 6 2 3" xfId="1702" xr:uid="{00000000-0005-0000-0000-0000B6060000}"/>
    <cellStyle name="Normal 6 2 3 2" xfId="1703" xr:uid="{00000000-0005-0000-0000-0000B7060000}"/>
    <cellStyle name="Normal 6 2 3 3" xfId="1704" xr:uid="{00000000-0005-0000-0000-0000B8060000}"/>
    <cellStyle name="Normal 6 2 3 4" xfId="1705" xr:uid="{00000000-0005-0000-0000-0000B9060000}"/>
    <cellStyle name="Normal 6 2 3 5" xfId="1706" xr:uid="{00000000-0005-0000-0000-0000BA060000}"/>
    <cellStyle name="Normal 6 2 4" xfId="1707" xr:uid="{00000000-0005-0000-0000-0000BB060000}"/>
    <cellStyle name="Normal 6 2 5" xfId="1708" xr:uid="{00000000-0005-0000-0000-0000BC060000}"/>
    <cellStyle name="Normal 6 2 6" xfId="1709" xr:uid="{00000000-0005-0000-0000-0000BD060000}"/>
    <cellStyle name="Normal 6 2 7" xfId="1710" xr:uid="{00000000-0005-0000-0000-0000BE060000}"/>
    <cellStyle name="Normal 6 2 8" xfId="1711" xr:uid="{00000000-0005-0000-0000-0000BF060000}"/>
    <cellStyle name="Normal 6 2 9" xfId="1712" xr:uid="{00000000-0005-0000-0000-0000C0060000}"/>
    <cellStyle name="Normal 6 2_Schedule CMA" xfId="1713" xr:uid="{00000000-0005-0000-0000-0000C1060000}"/>
    <cellStyle name="Normal 6 3" xfId="1714" xr:uid="{00000000-0005-0000-0000-0000C2060000}"/>
    <cellStyle name="Normal 6 3 2" xfId="1715" xr:uid="{00000000-0005-0000-0000-0000C3060000}"/>
    <cellStyle name="Normal 6 3 2 2" xfId="1716" xr:uid="{00000000-0005-0000-0000-0000C4060000}"/>
    <cellStyle name="Normal 6 3 2 3" xfId="1717" xr:uid="{00000000-0005-0000-0000-0000C5060000}"/>
    <cellStyle name="Normal 6 3 2 4" xfId="1718" xr:uid="{00000000-0005-0000-0000-0000C6060000}"/>
    <cellStyle name="Normal 6 3 2 5" xfId="1719" xr:uid="{00000000-0005-0000-0000-0000C7060000}"/>
    <cellStyle name="Normal 6 3 3" xfId="1720" xr:uid="{00000000-0005-0000-0000-0000C8060000}"/>
    <cellStyle name="Normal 6 3 4" xfId="1721" xr:uid="{00000000-0005-0000-0000-0000C9060000}"/>
    <cellStyle name="Normal 6 3 5" xfId="1722" xr:uid="{00000000-0005-0000-0000-0000CA060000}"/>
    <cellStyle name="Normal 6 4" xfId="1723" xr:uid="{00000000-0005-0000-0000-0000CB060000}"/>
    <cellStyle name="Normal 6 5" xfId="1724" xr:uid="{00000000-0005-0000-0000-0000CC060000}"/>
    <cellStyle name="Normal 6 6" xfId="1725" xr:uid="{00000000-0005-0000-0000-0000CD060000}"/>
    <cellStyle name="Normal 6 7" xfId="1726" xr:uid="{00000000-0005-0000-0000-0000CE060000}"/>
    <cellStyle name="Normal 6 8" xfId="1727" xr:uid="{00000000-0005-0000-0000-0000CF060000}"/>
    <cellStyle name="Normal 6 9" xfId="1728" xr:uid="{00000000-0005-0000-0000-0000D0060000}"/>
    <cellStyle name="Normal 6_Schedule CMA" xfId="1729" xr:uid="{00000000-0005-0000-0000-0000D1060000}"/>
    <cellStyle name="Normal 7" xfId="1730" xr:uid="{00000000-0005-0000-0000-0000D2060000}"/>
    <cellStyle name="Normal 7 2" xfId="1731" xr:uid="{00000000-0005-0000-0000-0000D3060000}"/>
    <cellStyle name="Normal 7 2 2" xfId="1732" xr:uid="{00000000-0005-0000-0000-0000D4060000}"/>
    <cellStyle name="Normal 7 3" xfId="1733" xr:uid="{00000000-0005-0000-0000-0000D5060000}"/>
    <cellStyle name="Normal 7_C-CMA" xfId="1734" xr:uid="{00000000-0005-0000-0000-0000D6060000}"/>
    <cellStyle name="Normal 8" xfId="1735" xr:uid="{00000000-0005-0000-0000-0000D7060000}"/>
    <cellStyle name="Normal 8 10" xfId="1736" xr:uid="{00000000-0005-0000-0000-0000D8060000}"/>
    <cellStyle name="Normal 8 11" xfId="1737" xr:uid="{00000000-0005-0000-0000-0000D9060000}"/>
    <cellStyle name="Normal 8 12" xfId="1738" xr:uid="{00000000-0005-0000-0000-0000DA060000}"/>
    <cellStyle name="Normal 8 13" xfId="1739" xr:uid="{00000000-0005-0000-0000-0000DB060000}"/>
    <cellStyle name="Normal 8 14" xfId="1740" xr:uid="{00000000-0005-0000-0000-0000DC060000}"/>
    <cellStyle name="Normal 8 2" xfId="1741" xr:uid="{00000000-0005-0000-0000-0000DD060000}"/>
    <cellStyle name="Normal 8 2 2" xfId="1742" xr:uid="{00000000-0005-0000-0000-0000DE060000}"/>
    <cellStyle name="Normal 8 2 2 2" xfId="1743" xr:uid="{00000000-0005-0000-0000-0000DF060000}"/>
    <cellStyle name="Normal 8 2 2 3" xfId="1744" xr:uid="{00000000-0005-0000-0000-0000E0060000}"/>
    <cellStyle name="Normal 8 2 2 4" xfId="1745" xr:uid="{00000000-0005-0000-0000-0000E1060000}"/>
    <cellStyle name="Normal 8 2 2 5" xfId="1746" xr:uid="{00000000-0005-0000-0000-0000E2060000}"/>
    <cellStyle name="Normal 8 2 3" xfId="1747" xr:uid="{00000000-0005-0000-0000-0000E3060000}"/>
    <cellStyle name="Normal 8 2 4" xfId="1748" xr:uid="{00000000-0005-0000-0000-0000E4060000}"/>
    <cellStyle name="Normal 8 2 5" xfId="1749" xr:uid="{00000000-0005-0000-0000-0000E5060000}"/>
    <cellStyle name="Normal 8 3" xfId="1750" xr:uid="{00000000-0005-0000-0000-0000E6060000}"/>
    <cellStyle name="Normal 8 4" xfId="1751" xr:uid="{00000000-0005-0000-0000-0000E7060000}"/>
    <cellStyle name="Normal 8 5" xfId="1752" xr:uid="{00000000-0005-0000-0000-0000E8060000}"/>
    <cellStyle name="Normal 8 6" xfId="1753" xr:uid="{00000000-0005-0000-0000-0000E9060000}"/>
    <cellStyle name="Normal 8 7" xfId="1754" xr:uid="{00000000-0005-0000-0000-0000EA060000}"/>
    <cellStyle name="Normal 8 8" xfId="1755" xr:uid="{00000000-0005-0000-0000-0000EB060000}"/>
    <cellStyle name="Normal 8 9" xfId="1756" xr:uid="{00000000-0005-0000-0000-0000EC060000}"/>
    <cellStyle name="Normal 8_Schedule CMA" xfId="1757" xr:uid="{00000000-0005-0000-0000-0000ED060000}"/>
    <cellStyle name="Normal 9" xfId="1758" xr:uid="{00000000-0005-0000-0000-0000EE060000}"/>
    <cellStyle name="Normal 9 10" xfId="1759" xr:uid="{00000000-0005-0000-0000-0000EF060000}"/>
    <cellStyle name="Normal 9 11" xfId="1760" xr:uid="{00000000-0005-0000-0000-0000F0060000}"/>
    <cellStyle name="Normal 9 12" xfId="1761" xr:uid="{00000000-0005-0000-0000-0000F1060000}"/>
    <cellStyle name="Normal 9 13" xfId="1762" xr:uid="{00000000-0005-0000-0000-0000F2060000}"/>
    <cellStyle name="Normal 9 14" xfId="1763" xr:uid="{00000000-0005-0000-0000-0000F3060000}"/>
    <cellStyle name="Normal 9 2" xfId="1764" xr:uid="{00000000-0005-0000-0000-0000F4060000}"/>
    <cellStyle name="Normal 9 2 2" xfId="1765" xr:uid="{00000000-0005-0000-0000-0000F5060000}"/>
    <cellStyle name="Normal 9 2 2 2" xfId="1766" xr:uid="{00000000-0005-0000-0000-0000F6060000}"/>
    <cellStyle name="Normal 9 2 2 3" xfId="1767" xr:uid="{00000000-0005-0000-0000-0000F7060000}"/>
    <cellStyle name="Normal 9 2 2 4" xfId="1768" xr:uid="{00000000-0005-0000-0000-0000F8060000}"/>
    <cellStyle name="Normal 9 2 2 5" xfId="1769" xr:uid="{00000000-0005-0000-0000-0000F9060000}"/>
    <cellStyle name="Normal 9 2 3" xfId="1770" xr:uid="{00000000-0005-0000-0000-0000FA060000}"/>
    <cellStyle name="Normal 9 2 4" xfId="1771" xr:uid="{00000000-0005-0000-0000-0000FB060000}"/>
    <cellStyle name="Normal 9 2 5" xfId="1772" xr:uid="{00000000-0005-0000-0000-0000FC060000}"/>
    <cellStyle name="Normal 9 3" xfId="1773" xr:uid="{00000000-0005-0000-0000-0000FD060000}"/>
    <cellStyle name="Normal 9 3 2" xfId="1774" xr:uid="{00000000-0005-0000-0000-0000FE060000}"/>
    <cellStyle name="Normal 9 3 3" xfId="1775" xr:uid="{00000000-0005-0000-0000-0000FF060000}"/>
    <cellStyle name="Normal 9 3 4" xfId="1776" xr:uid="{00000000-0005-0000-0000-000000070000}"/>
    <cellStyle name="Normal 9 3 5" xfId="1777" xr:uid="{00000000-0005-0000-0000-000001070000}"/>
    <cellStyle name="Normal 9 4" xfId="1778" xr:uid="{00000000-0005-0000-0000-000002070000}"/>
    <cellStyle name="Normal 9 5" xfId="1779" xr:uid="{00000000-0005-0000-0000-000003070000}"/>
    <cellStyle name="Normal 9 6" xfId="1780" xr:uid="{00000000-0005-0000-0000-000004070000}"/>
    <cellStyle name="Normal 9 7" xfId="1781" xr:uid="{00000000-0005-0000-0000-000005070000}"/>
    <cellStyle name="Normal 9 8" xfId="1782" xr:uid="{00000000-0005-0000-0000-000006070000}"/>
    <cellStyle name="Normal 9 9" xfId="1783" xr:uid="{00000000-0005-0000-0000-000007070000}"/>
    <cellStyle name="Normal 9_Schedule CMA" xfId="1784" xr:uid="{00000000-0005-0000-0000-000008070000}"/>
    <cellStyle name="Normal_ASO Cement Asbestos Plant" xfId="2181" xr:uid="{00000000-0005-0000-0000-000009070000}"/>
    <cellStyle name="Normal_Financials 210307 final submited" xfId="3" xr:uid="{00000000-0005-0000-0000-00000A070000}"/>
    <cellStyle name="Normal_Maa Chandi-23.02.08" xfId="2182" xr:uid="{00000000-0005-0000-0000-00000B070000}"/>
    <cellStyle name="Note 2" xfId="1785" xr:uid="{00000000-0005-0000-0000-00000C070000}"/>
    <cellStyle name="Note 3" xfId="1786" xr:uid="{00000000-0005-0000-0000-00000D070000}"/>
    <cellStyle name="Note 4" xfId="1787" xr:uid="{00000000-0005-0000-0000-00000E070000}"/>
    <cellStyle name="Note 5" xfId="1788" xr:uid="{00000000-0005-0000-0000-00000F070000}"/>
    <cellStyle name="Note 6" xfId="1789" xr:uid="{00000000-0005-0000-0000-000010070000}"/>
    <cellStyle name="Note 7" xfId="1790" xr:uid="{00000000-0005-0000-0000-000011070000}"/>
    <cellStyle name="oft Excel]_x000d__x000a_Comment=The open=/f lines load custom functions into the Paste Function list._x000d__x000a_Maximized=3_x000d__x000a_AutoFormat=" xfId="1791" xr:uid="{00000000-0005-0000-0000-000012070000}"/>
    <cellStyle name="oft Excel]_x000d__x000a_Comment=The open=/f lines load custom functions into the Paste Function list._x000d__x000a_Maximized=3_x000d__x000a_Basics=1_x000d__x000a_A" xfId="1792" xr:uid="{00000000-0005-0000-0000-000013070000}"/>
    <cellStyle name="Option" xfId="1793" xr:uid="{00000000-0005-0000-0000-000014070000}"/>
    <cellStyle name="OptionHeading" xfId="1794" xr:uid="{00000000-0005-0000-0000-000015070000}"/>
    <cellStyle name="Output 2" xfId="1795" xr:uid="{00000000-0005-0000-0000-000016070000}"/>
    <cellStyle name="Output 3" xfId="1796" xr:uid="{00000000-0005-0000-0000-000017070000}"/>
    <cellStyle name="Output 4" xfId="1797" xr:uid="{00000000-0005-0000-0000-000018070000}"/>
    <cellStyle name="Output 5" xfId="1798" xr:uid="{00000000-0005-0000-0000-000019070000}"/>
    <cellStyle name="Output 6" xfId="1799" xr:uid="{00000000-0005-0000-0000-00001A070000}"/>
    <cellStyle name="Output 7" xfId="1800" xr:uid="{00000000-0005-0000-0000-00001B070000}"/>
    <cellStyle name="Output Amounts" xfId="1801" xr:uid="{00000000-0005-0000-0000-00001C070000}"/>
    <cellStyle name="Output Column Headings" xfId="1802" xr:uid="{00000000-0005-0000-0000-00001D070000}"/>
    <cellStyle name="Output Line Items" xfId="1803" xr:uid="{00000000-0005-0000-0000-00001E070000}"/>
    <cellStyle name="Output Report Heading" xfId="1804" xr:uid="{00000000-0005-0000-0000-00001F070000}"/>
    <cellStyle name="Output Report Title" xfId="1805" xr:uid="{00000000-0005-0000-0000-000020070000}"/>
    <cellStyle name="OverHead" xfId="1806" xr:uid="{00000000-0005-0000-0000-000021070000}"/>
    <cellStyle name="per.style" xfId="1807" xr:uid="{00000000-0005-0000-0000-000022070000}"/>
    <cellStyle name="Percen - Style1" xfId="1808" xr:uid="{00000000-0005-0000-0000-000023070000}"/>
    <cellStyle name="Percent" xfId="1" builtinId="5"/>
    <cellStyle name="Percent (M)" xfId="1809" xr:uid="{00000000-0005-0000-0000-000025070000}"/>
    <cellStyle name="Percent [0]" xfId="1810" xr:uid="{00000000-0005-0000-0000-000026070000}"/>
    <cellStyle name="Percent [00]" xfId="1811" xr:uid="{00000000-0005-0000-0000-000027070000}"/>
    <cellStyle name="Percent [2]" xfId="1812" xr:uid="{00000000-0005-0000-0000-000028070000}"/>
    <cellStyle name="Percent [2] 2" xfId="1813" xr:uid="{00000000-0005-0000-0000-000029070000}"/>
    <cellStyle name="Percent [2] 3" xfId="1814" xr:uid="{00000000-0005-0000-0000-00002A070000}"/>
    <cellStyle name="Percent 10" xfId="1815" xr:uid="{00000000-0005-0000-0000-00002B070000}"/>
    <cellStyle name="Percent 10 2" xfId="1816" xr:uid="{00000000-0005-0000-0000-00002C070000}"/>
    <cellStyle name="Percent 11" xfId="1817" xr:uid="{00000000-0005-0000-0000-00002D070000}"/>
    <cellStyle name="Percent 12" xfId="1818" xr:uid="{00000000-0005-0000-0000-00002E070000}"/>
    <cellStyle name="Percent 13" xfId="1819" xr:uid="{00000000-0005-0000-0000-00002F070000}"/>
    <cellStyle name="Percent 14" xfId="1820" xr:uid="{00000000-0005-0000-0000-000030070000}"/>
    <cellStyle name="Percent 15" xfId="1821" xr:uid="{00000000-0005-0000-0000-000031070000}"/>
    <cellStyle name="Percent 16" xfId="1822" xr:uid="{00000000-0005-0000-0000-000032070000}"/>
    <cellStyle name="Percent 16 2" xfId="1823" xr:uid="{00000000-0005-0000-0000-000033070000}"/>
    <cellStyle name="Percent 16 3" xfId="1824" xr:uid="{00000000-0005-0000-0000-000034070000}"/>
    <cellStyle name="Percent 16 4" xfId="1825" xr:uid="{00000000-0005-0000-0000-000035070000}"/>
    <cellStyle name="Percent 16 5" xfId="1826" xr:uid="{00000000-0005-0000-0000-000036070000}"/>
    <cellStyle name="Percent 17" xfId="1827" xr:uid="{00000000-0005-0000-0000-000037070000}"/>
    <cellStyle name="Percent 18" xfId="1828" xr:uid="{00000000-0005-0000-0000-000038070000}"/>
    <cellStyle name="Percent 18 2" xfId="1829" xr:uid="{00000000-0005-0000-0000-000039070000}"/>
    <cellStyle name="Percent 18 3" xfId="1830" xr:uid="{00000000-0005-0000-0000-00003A070000}"/>
    <cellStyle name="Percent 18 4" xfId="1831" xr:uid="{00000000-0005-0000-0000-00003B070000}"/>
    <cellStyle name="Percent 18 5" xfId="1832" xr:uid="{00000000-0005-0000-0000-00003C070000}"/>
    <cellStyle name="Percent 19" xfId="1833" xr:uid="{00000000-0005-0000-0000-00003D070000}"/>
    <cellStyle name="Percent 19 2" xfId="1834" xr:uid="{00000000-0005-0000-0000-00003E070000}"/>
    <cellStyle name="Percent 19 3" xfId="1835" xr:uid="{00000000-0005-0000-0000-00003F070000}"/>
    <cellStyle name="Percent 19 4" xfId="1836" xr:uid="{00000000-0005-0000-0000-000040070000}"/>
    <cellStyle name="Percent 19 5" xfId="1837" xr:uid="{00000000-0005-0000-0000-000041070000}"/>
    <cellStyle name="Percent 2" xfId="1838" xr:uid="{00000000-0005-0000-0000-000042070000}"/>
    <cellStyle name="Percent 2 10" xfId="1839" xr:uid="{00000000-0005-0000-0000-000043070000}"/>
    <cellStyle name="Percent 2 11" xfId="1840" xr:uid="{00000000-0005-0000-0000-000044070000}"/>
    <cellStyle name="Percent 2 12" xfId="1841" xr:uid="{00000000-0005-0000-0000-000045070000}"/>
    <cellStyle name="Percent 2 12 2" xfId="1842" xr:uid="{00000000-0005-0000-0000-000046070000}"/>
    <cellStyle name="Percent 2 12 3" xfId="1843" xr:uid="{00000000-0005-0000-0000-000047070000}"/>
    <cellStyle name="Percent 2 12 4" xfId="1844" xr:uid="{00000000-0005-0000-0000-000048070000}"/>
    <cellStyle name="Percent 2 12 5" xfId="1845" xr:uid="{00000000-0005-0000-0000-000049070000}"/>
    <cellStyle name="Percent 2 13" xfId="1846" xr:uid="{00000000-0005-0000-0000-00004A070000}"/>
    <cellStyle name="Percent 2 14" xfId="1847" xr:uid="{00000000-0005-0000-0000-00004B070000}"/>
    <cellStyle name="Percent 2 15" xfId="1848" xr:uid="{00000000-0005-0000-0000-00004C070000}"/>
    <cellStyle name="Percent 2 2" xfId="1849" xr:uid="{00000000-0005-0000-0000-00004D070000}"/>
    <cellStyle name="Percent 2 2 2" xfId="1850" xr:uid="{00000000-0005-0000-0000-00004E070000}"/>
    <cellStyle name="Percent 2 2 2 2" xfId="1851" xr:uid="{00000000-0005-0000-0000-00004F070000}"/>
    <cellStyle name="Percent 2 2 2 2 2" xfId="1852" xr:uid="{00000000-0005-0000-0000-000050070000}"/>
    <cellStyle name="Percent 2 2 2 2 2 2" xfId="1853" xr:uid="{00000000-0005-0000-0000-000051070000}"/>
    <cellStyle name="Percent 2 3" xfId="1854" xr:uid="{00000000-0005-0000-0000-000052070000}"/>
    <cellStyle name="Percent 2 4" xfId="1855" xr:uid="{00000000-0005-0000-0000-000053070000}"/>
    <cellStyle name="Percent 2 4 2" xfId="1856" xr:uid="{00000000-0005-0000-0000-000054070000}"/>
    <cellStyle name="Percent 2 4 2 2" xfId="1857" xr:uid="{00000000-0005-0000-0000-000055070000}"/>
    <cellStyle name="Percent 2 4 2 3" xfId="1858" xr:uid="{00000000-0005-0000-0000-000056070000}"/>
    <cellStyle name="Percent 2 4 2 4" xfId="1859" xr:uid="{00000000-0005-0000-0000-000057070000}"/>
    <cellStyle name="Percent 2 4 2 5" xfId="1860" xr:uid="{00000000-0005-0000-0000-000058070000}"/>
    <cellStyle name="Percent 2 4 3" xfId="1861" xr:uid="{00000000-0005-0000-0000-000059070000}"/>
    <cellStyle name="Percent 2 4 4" xfId="1862" xr:uid="{00000000-0005-0000-0000-00005A070000}"/>
    <cellStyle name="Percent 2 4 5" xfId="1863" xr:uid="{00000000-0005-0000-0000-00005B070000}"/>
    <cellStyle name="Percent 2 5" xfId="1864" xr:uid="{00000000-0005-0000-0000-00005C070000}"/>
    <cellStyle name="Percent 2 6" xfId="1865" xr:uid="{00000000-0005-0000-0000-00005D070000}"/>
    <cellStyle name="Percent 2 7" xfId="1866" xr:uid="{00000000-0005-0000-0000-00005E070000}"/>
    <cellStyle name="Percent 2 8" xfId="1867" xr:uid="{00000000-0005-0000-0000-00005F070000}"/>
    <cellStyle name="Percent 2 9" xfId="1868" xr:uid="{00000000-0005-0000-0000-000060070000}"/>
    <cellStyle name="Percent 3" xfId="1869" xr:uid="{00000000-0005-0000-0000-000061070000}"/>
    <cellStyle name="Percent 3 10" xfId="1870" xr:uid="{00000000-0005-0000-0000-000062070000}"/>
    <cellStyle name="Percent 3 11" xfId="1871" xr:uid="{00000000-0005-0000-0000-000063070000}"/>
    <cellStyle name="Percent 3 12" xfId="1872" xr:uid="{00000000-0005-0000-0000-000064070000}"/>
    <cellStyle name="Percent 3 13" xfId="1873" xr:uid="{00000000-0005-0000-0000-000065070000}"/>
    <cellStyle name="Percent 3 14" xfId="1874" xr:uid="{00000000-0005-0000-0000-000066070000}"/>
    <cellStyle name="Percent 3 15" xfId="1875" xr:uid="{00000000-0005-0000-0000-000067070000}"/>
    <cellStyle name="Percent 3 16" xfId="1876" xr:uid="{00000000-0005-0000-0000-000068070000}"/>
    <cellStyle name="Percent 3 17" xfId="1877" xr:uid="{00000000-0005-0000-0000-000069070000}"/>
    <cellStyle name="Percent 3 2" xfId="1878" xr:uid="{00000000-0005-0000-0000-00006A070000}"/>
    <cellStyle name="Percent 3 2 10" xfId="1879" xr:uid="{00000000-0005-0000-0000-00006B070000}"/>
    <cellStyle name="Percent 3 2 11" xfId="1880" xr:uid="{00000000-0005-0000-0000-00006C070000}"/>
    <cellStyle name="Percent 3 2 12" xfId="1881" xr:uid="{00000000-0005-0000-0000-00006D070000}"/>
    <cellStyle name="Percent 3 2 13" xfId="1882" xr:uid="{00000000-0005-0000-0000-00006E070000}"/>
    <cellStyle name="Percent 3 2 14" xfId="1883" xr:uid="{00000000-0005-0000-0000-00006F070000}"/>
    <cellStyle name="Percent 3 2 15" xfId="1884" xr:uid="{00000000-0005-0000-0000-000070070000}"/>
    <cellStyle name="Percent 3 2 2" xfId="1885" xr:uid="{00000000-0005-0000-0000-000071070000}"/>
    <cellStyle name="Percent 3 2 2 2" xfId="1886" xr:uid="{00000000-0005-0000-0000-000072070000}"/>
    <cellStyle name="Percent 3 2 2 3" xfId="1887" xr:uid="{00000000-0005-0000-0000-000073070000}"/>
    <cellStyle name="Percent 3 2 2 4" xfId="1888" xr:uid="{00000000-0005-0000-0000-000074070000}"/>
    <cellStyle name="Percent 3 2 2 5" xfId="1889" xr:uid="{00000000-0005-0000-0000-000075070000}"/>
    <cellStyle name="Percent 3 2 3" xfId="1890" xr:uid="{00000000-0005-0000-0000-000076070000}"/>
    <cellStyle name="Percent 3 2 3 2" xfId="1891" xr:uid="{00000000-0005-0000-0000-000077070000}"/>
    <cellStyle name="Percent 3 2 3 3" xfId="1892" xr:uid="{00000000-0005-0000-0000-000078070000}"/>
    <cellStyle name="Percent 3 2 3 4" xfId="1893" xr:uid="{00000000-0005-0000-0000-000079070000}"/>
    <cellStyle name="Percent 3 2 3 5" xfId="1894" xr:uid="{00000000-0005-0000-0000-00007A070000}"/>
    <cellStyle name="Percent 3 2 4" xfId="1895" xr:uid="{00000000-0005-0000-0000-00007B070000}"/>
    <cellStyle name="Percent 3 2 4 2" xfId="1896" xr:uid="{00000000-0005-0000-0000-00007C070000}"/>
    <cellStyle name="Percent 3 2 4 3" xfId="1897" xr:uid="{00000000-0005-0000-0000-00007D070000}"/>
    <cellStyle name="Percent 3 2 4 4" xfId="1898" xr:uid="{00000000-0005-0000-0000-00007E070000}"/>
    <cellStyle name="Percent 3 2 4 5" xfId="1899" xr:uid="{00000000-0005-0000-0000-00007F070000}"/>
    <cellStyle name="Percent 3 2 5" xfId="1900" xr:uid="{00000000-0005-0000-0000-000080070000}"/>
    <cellStyle name="Percent 3 2 6" xfId="1901" xr:uid="{00000000-0005-0000-0000-000081070000}"/>
    <cellStyle name="Percent 3 2 7" xfId="1902" xr:uid="{00000000-0005-0000-0000-000082070000}"/>
    <cellStyle name="Percent 3 2 8" xfId="1903" xr:uid="{00000000-0005-0000-0000-000083070000}"/>
    <cellStyle name="Percent 3 2 9" xfId="1904" xr:uid="{00000000-0005-0000-0000-000084070000}"/>
    <cellStyle name="Percent 3 3" xfId="1905" xr:uid="{00000000-0005-0000-0000-000085070000}"/>
    <cellStyle name="Percent 3 3 2" xfId="1906" xr:uid="{00000000-0005-0000-0000-000086070000}"/>
    <cellStyle name="Percent 3 3 3" xfId="1907" xr:uid="{00000000-0005-0000-0000-000087070000}"/>
    <cellStyle name="Percent 3 3 4" xfId="1908" xr:uid="{00000000-0005-0000-0000-000088070000}"/>
    <cellStyle name="Percent 3 3 5" xfId="1909" xr:uid="{00000000-0005-0000-0000-000089070000}"/>
    <cellStyle name="Percent 3 4" xfId="1910" xr:uid="{00000000-0005-0000-0000-00008A070000}"/>
    <cellStyle name="Percent 3 5" xfId="1911" xr:uid="{00000000-0005-0000-0000-00008B070000}"/>
    <cellStyle name="Percent 3 6" xfId="1912" xr:uid="{00000000-0005-0000-0000-00008C070000}"/>
    <cellStyle name="Percent 3 6 2" xfId="1913" xr:uid="{00000000-0005-0000-0000-00008D070000}"/>
    <cellStyle name="Percent 3 6 3" xfId="1914" xr:uid="{00000000-0005-0000-0000-00008E070000}"/>
    <cellStyle name="Percent 3 6 4" xfId="1915" xr:uid="{00000000-0005-0000-0000-00008F070000}"/>
    <cellStyle name="Percent 3 6 5" xfId="1916" xr:uid="{00000000-0005-0000-0000-000090070000}"/>
    <cellStyle name="Percent 3 7" xfId="1917" xr:uid="{00000000-0005-0000-0000-000091070000}"/>
    <cellStyle name="Percent 3 8" xfId="1918" xr:uid="{00000000-0005-0000-0000-000092070000}"/>
    <cellStyle name="Percent 3 9" xfId="1919" xr:uid="{00000000-0005-0000-0000-000093070000}"/>
    <cellStyle name="Percent 4" xfId="1920" xr:uid="{00000000-0005-0000-0000-000094070000}"/>
    <cellStyle name="Percent 4 10" xfId="1921" xr:uid="{00000000-0005-0000-0000-000095070000}"/>
    <cellStyle name="Percent 4 11" xfId="1922" xr:uid="{00000000-0005-0000-0000-000096070000}"/>
    <cellStyle name="Percent 4 12" xfId="1923" xr:uid="{00000000-0005-0000-0000-000097070000}"/>
    <cellStyle name="Percent 4 13" xfId="1924" xr:uid="{00000000-0005-0000-0000-000098070000}"/>
    <cellStyle name="Percent 4 14" xfId="1925" xr:uid="{00000000-0005-0000-0000-000099070000}"/>
    <cellStyle name="Percent 4 2" xfId="1926" xr:uid="{00000000-0005-0000-0000-00009A070000}"/>
    <cellStyle name="Percent 4 2 2" xfId="1927" xr:uid="{00000000-0005-0000-0000-00009B070000}"/>
    <cellStyle name="Percent 4 3" xfId="1928" xr:uid="{00000000-0005-0000-0000-00009C070000}"/>
    <cellStyle name="Percent 4 3 2" xfId="1929" xr:uid="{00000000-0005-0000-0000-00009D070000}"/>
    <cellStyle name="Percent 4 3 2 2" xfId="1930" xr:uid="{00000000-0005-0000-0000-00009E070000}"/>
    <cellStyle name="Percent 4 3 2 3" xfId="1931" xr:uid="{00000000-0005-0000-0000-00009F070000}"/>
    <cellStyle name="Percent 4 3 2 4" xfId="1932" xr:uid="{00000000-0005-0000-0000-0000A0070000}"/>
    <cellStyle name="Percent 4 3 2 5" xfId="1933" xr:uid="{00000000-0005-0000-0000-0000A1070000}"/>
    <cellStyle name="Percent 4 3 3" xfId="1934" xr:uid="{00000000-0005-0000-0000-0000A2070000}"/>
    <cellStyle name="Percent 4 3 4" xfId="1935" xr:uid="{00000000-0005-0000-0000-0000A3070000}"/>
    <cellStyle name="Percent 4 3 5" xfId="1936" xr:uid="{00000000-0005-0000-0000-0000A4070000}"/>
    <cellStyle name="Percent 4 4" xfId="1937" xr:uid="{00000000-0005-0000-0000-0000A5070000}"/>
    <cellStyle name="Percent 4 5" xfId="1938" xr:uid="{00000000-0005-0000-0000-0000A6070000}"/>
    <cellStyle name="Percent 4 6" xfId="1939" xr:uid="{00000000-0005-0000-0000-0000A7070000}"/>
    <cellStyle name="Percent 4 7" xfId="1940" xr:uid="{00000000-0005-0000-0000-0000A8070000}"/>
    <cellStyle name="Percent 4 8" xfId="1941" xr:uid="{00000000-0005-0000-0000-0000A9070000}"/>
    <cellStyle name="Percent 4 9" xfId="1942" xr:uid="{00000000-0005-0000-0000-0000AA070000}"/>
    <cellStyle name="Percent 5" xfId="1943" xr:uid="{00000000-0005-0000-0000-0000AB070000}"/>
    <cellStyle name="Percent 5 10" xfId="1944" xr:uid="{00000000-0005-0000-0000-0000AC070000}"/>
    <cellStyle name="Percent 5 11" xfId="1945" xr:uid="{00000000-0005-0000-0000-0000AD070000}"/>
    <cellStyle name="Percent 5 12" xfId="1946" xr:uid="{00000000-0005-0000-0000-0000AE070000}"/>
    <cellStyle name="Percent 5 13" xfId="1947" xr:uid="{00000000-0005-0000-0000-0000AF070000}"/>
    <cellStyle name="Percent 5 14" xfId="1948" xr:uid="{00000000-0005-0000-0000-0000B0070000}"/>
    <cellStyle name="Percent 5 15" xfId="1949" xr:uid="{00000000-0005-0000-0000-0000B1070000}"/>
    <cellStyle name="Percent 5 2" xfId="1950" xr:uid="{00000000-0005-0000-0000-0000B2070000}"/>
    <cellStyle name="Percent 5 2 10" xfId="1951" xr:uid="{00000000-0005-0000-0000-0000B3070000}"/>
    <cellStyle name="Percent 5 2 11" xfId="1952" xr:uid="{00000000-0005-0000-0000-0000B4070000}"/>
    <cellStyle name="Percent 5 2 12" xfId="1953" xr:uid="{00000000-0005-0000-0000-0000B5070000}"/>
    <cellStyle name="Percent 5 2 13" xfId="1954" xr:uid="{00000000-0005-0000-0000-0000B6070000}"/>
    <cellStyle name="Percent 5 2 14" xfId="1955" xr:uid="{00000000-0005-0000-0000-0000B7070000}"/>
    <cellStyle name="Percent 5 2 2" xfId="1956" xr:uid="{00000000-0005-0000-0000-0000B8070000}"/>
    <cellStyle name="Percent 5 2 2 2" xfId="1957" xr:uid="{00000000-0005-0000-0000-0000B9070000}"/>
    <cellStyle name="Percent 5 2 2 2 2" xfId="1958" xr:uid="{00000000-0005-0000-0000-0000BA070000}"/>
    <cellStyle name="Percent 5 2 2 2 3" xfId="1959" xr:uid="{00000000-0005-0000-0000-0000BB070000}"/>
    <cellStyle name="Percent 5 2 2 2 4" xfId="1960" xr:uid="{00000000-0005-0000-0000-0000BC070000}"/>
    <cellStyle name="Percent 5 2 2 2 5" xfId="1961" xr:uid="{00000000-0005-0000-0000-0000BD070000}"/>
    <cellStyle name="Percent 5 2 2 3" xfId="1962" xr:uid="{00000000-0005-0000-0000-0000BE070000}"/>
    <cellStyle name="Percent 5 2 2 4" xfId="1963" xr:uid="{00000000-0005-0000-0000-0000BF070000}"/>
    <cellStyle name="Percent 5 2 2 5" xfId="1964" xr:uid="{00000000-0005-0000-0000-0000C0070000}"/>
    <cellStyle name="Percent 5 2 3" xfId="1965" xr:uid="{00000000-0005-0000-0000-0000C1070000}"/>
    <cellStyle name="Percent 5 2 4" xfId="1966" xr:uid="{00000000-0005-0000-0000-0000C2070000}"/>
    <cellStyle name="Percent 5 2 5" xfId="1967" xr:uid="{00000000-0005-0000-0000-0000C3070000}"/>
    <cellStyle name="Percent 5 2 6" xfId="1968" xr:uid="{00000000-0005-0000-0000-0000C4070000}"/>
    <cellStyle name="Percent 5 2 7" xfId="1969" xr:uid="{00000000-0005-0000-0000-0000C5070000}"/>
    <cellStyle name="Percent 5 2 8" xfId="1970" xr:uid="{00000000-0005-0000-0000-0000C6070000}"/>
    <cellStyle name="Percent 5 2 9" xfId="1971" xr:uid="{00000000-0005-0000-0000-0000C7070000}"/>
    <cellStyle name="Percent 5 3" xfId="1972" xr:uid="{00000000-0005-0000-0000-0000C8070000}"/>
    <cellStyle name="Percent 5 3 2" xfId="1973" xr:uid="{00000000-0005-0000-0000-0000C9070000}"/>
    <cellStyle name="Percent 5 3 2 2" xfId="1974" xr:uid="{00000000-0005-0000-0000-0000CA070000}"/>
    <cellStyle name="Percent 5 3 2 3" xfId="1975" xr:uid="{00000000-0005-0000-0000-0000CB070000}"/>
    <cellStyle name="Percent 5 3 2 4" xfId="1976" xr:uid="{00000000-0005-0000-0000-0000CC070000}"/>
    <cellStyle name="Percent 5 3 2 5" xfId="1977" xr:uid="{00000000-0005-0000-0000-0000CD070000}"/>
    <cellStyle name="Percent 5 3 3" xfId="1978" xr:uid="{00000000-0005-0000-0000-0000CE070000}"/>
    <cellStyle name="Percent 5 3 4" xfId="1979" xr:uid="{00000000-0005-0000-0000-0000CF070000}"/>
    <cellStyle name="Percent 5 3 5" xfId="1980" xr:uid="{00000000-0005-0000-0000-0000D0070000}"/>
    <cellStyle name="Percent 5 4" xfId="1981" xr:uid="{00000000-0005-0000-0000-0000D1070000}"/>
    <cellStyle name="Percent 5 5" xfId="1982" xr:uid="{00000000-0005-0000-0000-0000D2070000}"/>
    <cellStyle name="Percent 5 6" xfId="1983" xr:uid="{00000000-0005-0000-0000-0000D3070000}"/>
    <cellStyle name="Percent 5 7" xfId="1984" xr:uid="{00000000-0005-0000-0000-0000D4070000}"/>
    <cellStyle name="Percent 5 8" xfId="1985" xr:uid="{00000000-0005-0000-0000-0000D5070000}"/>
    <cellStyle name="Percent 5 9" xfId="1986" xr:uid="{00000000-0005-0000-0000-0000D6070000}"/>
    <cellStyle name="Percent 6" xfId="1987" xr:uid="{00000000-0005-0000-0000-0000D7070000}"/>
    <cellStyle name="Percent 6 2" xfId="1988" xr:uid="{00000000-0005-0000-0000-0000D8070000}"/>
    <cellStyle name="Percent 6 2 2" xfId="1989" xr:uid="{00000000-0005-0000-0000-0000D9070000}"/>
    <cellStyle name="Percent 6 2 2 2" xfId="1990" xr:uid="{00000000-0005-0000-0000-0000DA070000}"/>
    <cellStyle name="Percent 6 2 2 2 2" xfId="1991" xr:uid="{00000000-0005-0000-0000-0000DB070000}"/>
    <cellStyle name="Percent 6 2 2 2 2 2" xfId="1992" xr:uid="{00000000-0005-0000-0000-0000DC070000}"/>
    <cellStyle name="Percent 6 2 2 2 3" xfId="1993" xr:uid="{00000000-0005-0000-0000-0000DD070000}"/>
    <cellStyle name="Percent 7" xfId="1994" xr:uid="{00000000-0005-0000-0000-0000DE070000}"/>
    <cellStyle name="Percent 8" xfId="1995" xr:uid="{00000000-0005-0000-0000-0000DF070000}"/>
    <cellStyle name="Percent 8 10" xfId="1996" xr:uid="{00000000-0005-0000-0000-0000E0070000}"/>
    <cellStyle name="Percent 8 11" xfId="1997" xr:uid="{00000000-0005-0000-0000-0000E1070000}"/>
    <cellStyle name="Percent 8 12" xfId="1998" xr:uid="{00000000-0005-0000-0000-0000E2070000}"/>
    <cellStyle name="Percent 8 13" xfId="1999" xr:uid="{00000000-0005-0000-0000-0000E3070000}"/>
    <cellStyle name="Percent 8 14" xfId="2000" xr:uid="{00000000-0005-0000-0000-0000E4070000}"/>
    <cellStyle name="Percent 8 2" xfId="2001" xr:uid="{00000000-0005-0000-0000-0000E5070000}"/>
    <cellStyle name="Percent 8 2 2" xfId="2002" xr:uid="{00000000-0005-0000-0000-0000E6070000}"/>
    <cellStyle name="Percent 8 2 2 2" xfId="2003" xr:uid="{00000000-0005-0000-0000-0000E7070000}"/>
    <cellStyle name="Percent 8 2 2 3" xfId="2004" xr:uid="{00000000-0005-0000-0000-0000E8070000}"/>
    <cellStyle name="Percent 8 2 2 4" xfId="2005" xr:uid="{00000000-0005-0000-0000-0000E9070000}"/>
    <cellStyle name="Percent 8 2 2 5" xfId="2006" xr:uid="{00000000-0005-0000-0000-0000EA070000}"/>
    <cellStyle name="Percent 8 2 3" xfId="2007" xr:uid="{00000000-0005-0000-0000-0000EB070000}"/>
    <cellStyle name="Percent 8 2 4" xfId="2008" xr:uid="{00000000-0005-0000-0000-0000EC070000}"/>
    <cellStyle name="Percent 8 2 5" xfId="2009" xr:uid="{00000000-0005-0000-0000-0000ED070000}"/>
    <cellStyle name="Percent 8 3" xfId="2010" xr:uid="{00000000-0005-0000-0000-0000EE070000}"/>
    <cellStyle name="Percent 8 4" xfId="2011" xr:uid="{00000000-0005-0000-0000-0000EF070000}"/>
    <cellStyle name="Percent 8 5" xfId="2012" xr:uid="{00000000-0005-0000-0000-0000F0070000}"/>
    <cellStyle name="Percent 8 6" xfId="2013" xr:uid="{00000000-0005-0000-0000-0000F1070000}"/>
    <cellStyle name="Percent 8 7" xfId="2014" xr:uid="{00000000-0005-0000-0000-0000F2070000}"/>
    <cellStyle name="Percent 8 8" xfId="2015" xr:uid="{00000000-0005-0000-0000-0000F3070000}"/>
    <cellStyle name="Percent 8 9" xfId="2016" xr:uid="{00000000-0005-0000-0000-0000F4070000}"/>
    <cellStyle name="Percent 9" xfId="2017" xr:uid="{00000000-0005-0000-0000-0000F5070000}"/>
    <cellStyle name="Percent 9 10" xfId="2018" xr:uid="{00000000-0005-0000-0000-0000F6070000}"/>
    <cellStyle name="Percent 9 11" xfId="2019" xr:uid="{00000000-0005-0000-0000-0000F7070000}"/>
    <cellStyle name="Percent 9 12" xfId="2020" xr:uid="{00000000-0005-0000-0000-0000F8070000}"/>
    <cellStyle name="Percent 9 13" xfId="2021" xr:uid="{00000000-0005-0000-0000-0000F9070000}"/>
    <cellStyle name="Percent 9 14" xfId="2022" xr:uid="{00000000-0005-0000-0000-0000FA070000}"/>
    <cellStyle name="Percent 9 2" xfId="2023" xr:uid="{00000000-0005-0000-0000-0000FB070000}"/>
    <cellStyle name="Percent 9 2 2" xfId="2024" xr:uid="{00000000-0005-0000-0000-0000FC070000}"/>
    <cellStyle name="Percent 9 2 2 2" xfId="2025" xr:uid="{00000000-0005-0000-0000-0000FD070000}"/>
    <cellStyle name="Percent 9 2 2 3" xfId="2026" xr:uid="{00000000-0005-0000-0000-0000FE070000}"/>
    <cellStyle name="Percent 9 2 2 4" xfId="2027" xr:uid="{00000000-0005-0000-0000-0000FF070000}"/>
    <cellStyle name="Percent 9 2 2 5" xfId="2028" xr:uid="{00000000-0005-0000-0000-000000080000}"/>
    <cellStyle name="Percent 9 2 3" xfId="2029" xr:uid="{00000000-0005-0000-0000-000001080000}"/>
    <cellStyle name="Percent 9 2 4" xfId="2030" xr:uid="{00000000-0005-0000-0000-000002080000}"/>
    <cellStyle name="Percent 9 2 5" xfId="2031" xr:uid="{00000000-0005-0000-0000-000003080000}"/>
    <cellStyle name="Percent 9 3" xfId="2032" xr:uid="{00000000-0005-0000-0000-000004080000}"/>
    <cellStyle name="Percent 9 3 2" xfId="2033" xr:uid="{00000000-0005-0000-0000-000005080000}"/>
    <cellStyle name="Percent 9 3 3" xfId="2034" xr:uid="{00000000-0005-0000-0000-000006080000}"/>
    <cellStyle name="Percent 9 3 4" xfId="2035" xr:uid="{00000000-0005-0000-0000-000007080000}"/>
    <cellStyle name="Percent 9 3 5" xfId="2036" xr:uid="{00000000-0005-0000-0000-000008080000}"/>
    <cellStyle name="Percent 9 4" xfId="2037" xr:uid="{00000000-0005-0000-0000-000009080000}"/>
    <cellStyle name="Percent 9 5" xfId="2038" xr:uid="{00000000-0005-0000-0000-00000A080000}"/>
    <cellStyle name="Percent 9 6" xfId="2039" xr:uid="{00000000-0005-0000-0000-00000B080000}"/>
    <cellStyle name="Percent 9 7" xfId="2040" xr:uid="{00000000-0005-0000-0000-00000C080000}"/>
    <cellStyle name="Percent 9 8" xfId="2041" xr:uid="{00000000-0005-0000-0000-00000D080000}"/>
    <cellStyle name="Percent 9 9" xfId="2042" xr:uid="{00000000-0005-0000-0000-00000E080000}"/>
    <cellStyle name="PERCENTAGE" xfId="2043" xr:uid="{00000000-0005-0000-0000-00000F080000}"/>
    <cellStyle name="Plain2Decimals" xfId="2044" xr:uid="{00000000-0005-0000-0000-000010080000}"/>
    <cellStyle name="PlainDollar" xfId="2045" xr:uid="{00000000-0005-0000-0000-000011080000}"/>
    <cellStyle name="PlainDollarBoldwBorders" xfId="2046" xr:uid="{00000000-0005-0000-0000-000012080000}"/>
    <cellStyle name="PlainDollardBLUndLine" xfId="2047" xr:uid="{00000000-0005-0000-0000-000013080000}"/>
    <cellStyle name="PlainDollarSS" xfId="2048" xr:uid="{00000000-0005-0000-0000-000014080000}"/>
    <cellStyle name="PlainDollarUndLine" xfId="2049" xr:uid="{00000000-0005-0000-0000-000015080000}"/>
    <cellStyle name="PrePop Currency (0)" xfId="2050" xr:uid="{00000000-0005-0000-0000-000016080000}"/>
    <cellStyle name="PrePop Currency (2)" xfId="2051" xr:uid="{00000000-0005-0000-0000-000017080000}"/>
    <cellStyle name="PrePop Units (0)" xfId="2052" xr:uid="{00000000-0005-0000-0000-000018080000}"/>
    <cellStyle name="PrePop Units (1)" xfId="2053" xr:uid="{00000000-0005-0000-0000-000019080000}"/>
    <cellStyle name="PrePop Units (2)" xfId="2054" xr:uid="{00000000-0005-0000-0000-00001A080000}"/>
    <cellStyle name="Product Title" xfId="2055" xr:uid="{00000000-0005-0000-0000-00001B080000}"/>
    <cellStyle name="Prozent_LAGER97" xfId="2056" xr:uid="{00000000-0005-0000-0000-00001C080000}"/>
    <cellStyle name="PSChar" xfId="2057" xr:uid="{00000000-0005-0000-0000-00001D080000}"/>
    <cellStyle name="PSDate" xfId="2058" xr:uid="{00000000-0005-0000-0000-00001E080000}"/>
    <cellStyle name="PSDec" xfId="2059" xr:uid="{00000000-0005-0000-0000-00001F080000}"/>
    <cellStyle name="PSHeading" xfId="2060" xr:uid="{00000000-0005-0000-0000-000020080000}"/>
    <cellStyle name="PSInt" xfId="2061" xr:uid="{00000000-0005-0000-0000-000021080000}"/>
    <cellStyle name="PSSpacer" xfId="2062" xr:uid="{00000000-0005-0000-0000-000022080000}"/>
    <cellStyle name="Quantity" xfId="2063" xr:uid="{00000000-0005-0000-0000-000023080000}"/>
    <cellStyle name="R(0)" xfId="2064" xr:uid="{00000000-0005-0000-0000-000024080000}"/>
    <cellStyle name="Reset  - Style4" xfId="2065" xr:uid="{00000000-0005-0000-0000-000025080000}"/>
    <cellStyle name="Reset  - Style7" xfId="2066" xr:uid="{00000000-0005-0000-0000-000026080000}"/>
    <cellStyle name="Reset range style to defaults" xfId="2197" xr:uid="{00000000-0005-0000-0000-000027080000}"/>
    <cellStyle name="RevList" xfId="2067" xr:uid="{00000000-0005-0000-0000-000028080000}"/>
    <cellStyle name="SAPBEXaggData" xfId="2068" xr:uid="{00000000-0005-0000-0000-000029080000}"/>
    <cellStyle name="SAPBEXaggDataEmph" xfId="2069" xr:uid="{00000000-0005-0000-0000-00002A080000}"/>
    <cellStyle name="SAPBEXaggItem" xfId="2070" xr:uid="{00000000-0005-0000-0000-00002B080000}"/>
    <cellStyle name="SAPBEXaggItemX" xfId="2071" xr:uid="{00000000-0005-0000-0000-00002C080000}"/>
    <cellStyle name="SAPBEXchaText" xfId="2072" xr:uid="{00000000-0005-0000-0000-00002D080000}"/>
    <cellStyle name="SAPBEXexcBad7" xfId="2073" xr:uid="{00000000-0005-0000-0000-00002E080000}"/>
    <cellStyle name="SAPBEXexcBad8" xfId="2074" xr:uid="{00000000-0005-0000-0000-00002F080000}"/>
    <cellStyle name="SAPBEXexcBad9" xfId="2075" xr:uid="{00000000-0005-0000-0000-000030080000}"/>
    <cellStyle name="SAPBEXexcCritical4" xfId="2076" xr:uid="{00000000-0005-0000-0000-000031080000}"/>
    <cellStyle name="SAPBEXexcCritical5" xfId="2077" xr:uid="{00000000-0005-0000-0000-000032080000}"/>
    <cellStyle name="SAPBEXexcCritical6" xfId="2078" xr:uid="{00000000-0005-0000-0000-000033080000}"/>
    <cellStyle name="SAPBEXexcGood1" xfId="2079" xr:uid="{00000000-0005-0000-0000-000034080000}"/>
    <cellStyle name="SAPBEXexcGood2" xfId="2080" xr:uid="{00000000-0005-0000-0000-000035080000}"/>
    <cellStyle name="SAPBEXexcGood3" xfId="2081" xr:uid="{00000000-0005-0000-0000-000036080000}"/>
    <cellStyle name="SAPBEXfilterDrill" xfId="2082" xr:uid="{00000000-0005-0000-0000-000037080000}"/>
    <cellStyle name="SAPBEXfilterItem" xfId="2083" xr:uid="{00000000-0005-0000-0000-000038080000}"/>
    <cellStyle name="SAPBEXfilterText" xfId="2084" xr:uid="{00000000-0005-0000-0000-000039080000}"/>
    <cellStyle name="SAPBEXformats" xfId="2085" xr:uid="{00000000-0005-0000-0000-00003A080000}"/>
    <cellStyle name="SAPBEXheaderItem" xfId="2086" xr:uid="{00000000-0005-0000-0000-00003B080000}"/>
    <cellStyle name="SAPBEXheaderText" xfId="2087" xr:uid="{00000000-0005-0000-0000-00003C080000}"/>
    <cellStyle name="SAPBEXHLevel0" xfId="2088" xr:uid="{00000000-0005-0000-0000-00003D080000}"/>
    <cellStyle name="SAPBEXHLevel0X" xfId="2089" xr:uid="{00000000-0005-0000-0000-00003E080000}"/>
    <cellStyle name="SAPBEXHLevel1" xfId="2090" xr:uid="{00000000-0005-0000-0000-00003F080000}"/>
    <cellStyle name="SAPBEXHLevel1X" xfId="2091" xr:uid="{00000000-0005-0000-0000-000040080000}"/>
    <cellStyle name="SAPBEXHLevel2" xfId="2092" xr:uid="{00000000-0005-0000-0000-000041080000}"/>
    <cellStyle name="SAPBEXHLevel2X" xfId="2093" xr:uid="{00000000-0005-0000-0000-000042080000}"/>
    <cellStyle name="SAPBEXHLevel3" xfId="2094" xr:uid="{00000000-0005-0000-0000-000043080000}"/>
    <cellStyle name="SAPBEXHLevel3X" xfId="2095" xr:uid="{00000000-0005-0000-0000-000044080000}"/>
    <cellStyle name="SAPBEXresData" xfId="2096" xr:uid="{00000000-0005-0000-0000-000045080000}"/>
    <cellStyle name="SAPBEXresDataEmph" xfId="2097" xr:uid="{00000000-0005-0000-0000-000046080000}"/>
    <cellStyle name="SAPBEXresItem" xfId="2098" xr:uid="{00000000-0005-0000-0000-000047080000}"/>
    <cellStyle name="SAPBEXresItemX" xfId="2099" xr:uid="{00000000-0005-0000-0000-000048080000}"/>
    <cellStyle name="SAPBEXstdData" xfId="2100" xr:uid="{00000000-0005-0000-0000-000049080000}"/>
    <cellStyle name="SAPBEXstdDataEmph" xfId="2101" xr:uid="{00000000-0005-0000-0000-00004A080000}"/>
    <cellStyle name="SAPBEXstdItem" xfId="2102" xr:uid="{00000000-0005-0000-0000-00004B080000}"/>
    <cellStyle name="SAPBEXstdItemX" xfId="2103" xr:uid="{00000000-0005-0000-0000-00004C080000}"/>
    <cellStyle name="SAPBEXtitle" xfId="2104" xr:uid="{00000000-0005-0000-0000-00004D080000}"/>
    <cellStyle name="SAPBEXundefined" xfId="2105" xr:uid="{00000000-0005-0000-0000-00004E080000}"/>
    <cellStyle name="ScratchPad" xfId="2106" xr:uid="{00000000-0005-0000-0000-00004F080000}"/>
    <cellStyle name="SPOl" xfId="2107" xr:uid="{00000000-0005-0000-0000-000050080000}"/>
    <cellStyle name="SSComma0" xfId="2108" xr:uid="{00000000-0005-0000-0000-000051080000}"/>
    <cellStyle name="SSComma2" xfId="2109" xr:uid="{00000000-0005-0000-0000-000052080000}"/>
    <cellStyle name="SSDecs3" xfId="2110" xr:uid="{00000000-0005-0000-0000-000053080000}"/>
    <cellStyle name="SSDflt" xfId="2111" xr:uid="{00000000-0005-0000-0000-000054080000}"/>
    <cellStyle name="SSDfltPct" xfId="2112" xr:uid="{00000000-0005-0000-0000-000055080000}"/>
    <cellStyle name="SSDfltPct0" xfId="2113" xr:uid="{00000000-0005-0000-0000-000056080000}"/>
    <cellStyle name="SSFixed2" xfId="2114" xr:uid="{00000000-0005-0000-0000-000057080000}"/>
    <cellStyle name="Standard_Amort.-Rechnung" xfId="2115" xr:uid="{00000000-0005-0000-0000-000058080000}"/>
    <cellStyle name="StLineTOP" xfId="2116" xr:uid="{00000000-0005-0000-0000-000059080000}"/>
    <cellStyle name="STYL1 - Style1" xfId="2117" xr:uid="{00000000-0005-0000-0000-00005A080000}"/>
    <cellStyle name="Style 1" xfId="2118" xr:uid="{00000000-0005-0000-0000-00005B080000}"/>
    <cellStyle name="subhead" xfId="2119" xr:uid="{00000000-0005-0000-0000-00005C080000}"/>
    <cellStyle name="Subtotal" xfId="2120" xr:uid="{00000000-0005-0000-0000-00005D080000}"/>
    <cellStyle name="SUB-TOTAL" xfId="2121" xr:uid="{00000000-0005-0000-0000-00005E080000}"/>
    <cellStyle name="SUNIL N" xfId="2122" xr:uid="{00000000-0005-0000-0000-00005F080000}"/>
    <cellStyle name="Table  - Style5" xfId="2123" xr:uid="{00000000-0005-0000-0000-000060080000}"/>
    <cellStyle name="Table  - Style6" xfId="2124" xr:uid="{00000000-0005-0000-0000-000061080000}"/>
    <cellStyle name="Text" xfId="2125" xr:uid="{00000000-0005-0000-0000-000062080000}"/>
    <cellStyle name="Text Indent A" xfId="2126" xr:uid="{00000000-0005-0000-0000-000063080000}"/>
    <cellStyle name="Text Indent B" xfId="2127" xr:uid="{00000000-0005-0000-0000-000064080000}"/>
    <cellStyle name="Text Indent C" xfId="2128" xr:uid="{00000000-0005-0000-0000-000065080000}"/>
    <cellStyle name="þ_x001d_ðç_x000b_óþ÷_x000c_âþU_x0001_6_x0011_À_x0012__x0007__x0001__x0001_" xfId="2129" xr:uid="{00000000-0005-0000-0000-000066080000}"/>
    <cellStyle name="þ_x001d_ðG&amp;Mý·&amp;FýG_x0008_ð È_x000a__x0007__x0001__x0001_" xfId="2130" xr:uid="{00000000-0005-0000-0000-000067080000}"/>
    <cellStyle name="þ_x001d_ðW_x000c_ìþ'_x000d_ßþU_x0001_º_x0012_ä_x0013__x0007__x0001__x0001_" xfId="2131" xr:uid="{00000000-0005-0000-0000-000068080000}"/>
    <cellStyle name="times" xfId="2132" xr:uid="{00000000-0005-0000-0000-000069080000}"/>
    <cellStyle name="Times New Roman" xfId="2133" xr:uid="{00000000-0005-0000-0000-00006A080000}"/>
    <cellStyle name="Title  - Style1" xfId="2134" xr:uid="{00000000-0005-0000-0000-00006B080000}"/>
    <cellStyle name="Title  - Style6" xfId="2135" xr:uid="{00000000-0005-0000-0000-00006C080000}"/>
    <cellStyle name="Titre1" xfId="2136" xr:uid="{00000000-0005-0000-0000-00006D080000}"/>
    <cellStyle name="Titre2" xfId="2137" xr:uid="{00000000-0005-0000-0000-00006E080000}"/>
    <cellStyle name="Total 2" xfId="2138" xr:uid="{00000000-0005-0000-0000-00006F080000}"/>
    <cellStyle name="Total 3" xfId="2139" xr:uid="{00000000-0005-0000-0000-000070080000}"/>
    <cellStyle name="Total 4" xfId="2140" xr:uid="{00000000-0005-0000-0000-000071080000}"/>
    <cellStyle name="Total 5" xfId="2141" xr:uid="{00000000-0005-0000-0000-000072080000}"/>
    <cellStyle name="Total 6" xfId="2142" xr:uid="{00000000-0005-0000-0000-000073080000}"/>
    <cellStyle name="Total 7" xfId="2143" xr:uid="{00000000-0005-0000-0000-000074080000}"/>
    <cellStyle name="TotCol - Style5" xfId="2144" xr:uid="{00000000-0005-0000-0000-000075080000}"/>
    <cellStyle name="TotCol - Style7" xfId="2145" xr:uid="{00000000-0005-0000-0000-000076080000}"/>
    <cellStyle name="TotRow - Style4" xfId="2146" xr:uid="{00000000-0005-0000-0000-000077080000}"/>
    <cellStyle name="TotRow - Style8" xfId="2147" xr:uid="{00000000-0005-0000-0000-000078080000}"/>
    <cellStyle name="Tusental (0)_pldt" xfId="2148" xr:uid="{00000000-0005-0000-0000-000079080000}"/>
    <cellStyle name="Tusental_pldt" xfId="2149" xr:uid="{00000000-0005-0000-0000-00007A080000}"/>
    <cellStyle name="UnderLine" xfId="2150" xr:uid="{00000000-0005-0000-0000-00007B080000}"/>
    <cellStyle name="value" xfId="2151" xr:uid="{00000000-0005-0000-0000-00007C080000}"/>
    <cellStyle name="Valuta (0)_pldt" xfId="2152" xr:uid="{00000000-0005-0000-0000-00007D080000}"/>
    <cellStyle name="Valuta_pldt" xfId="2153" xr:uid="{00000000-0005-0000-0000-00007E080000}"/>
    <cellStyle name="Vertical" xfId="2154" xr:uid="{00000000-0005-0000-0000-00007F080000}"/>
    <cellStyle name="Vide" xfId="2155" xr:uid="{00000000-0005-0000-0000-000080080000}"/>
    <cellStyle name="W?rung [0]_Pr.Ev. CCC" xfId="2156" xr:uid="{00000000-0005-0000-0000-000081080000}"/>
    <cellStyle name="W?rung_Pr.Ev. CCC" xfId="2157" xr:uid="{00000000-0005-0000-0000-000082080000}"/>
    <cellStyle name="Währung [0]_12" xfId="2158" xr:uid="{00000000-0005-0000-0000-000083080000}"/>
    <cellStyle name="Währung_12" xfId="2159" xr:uid="{00000000-0005-0000-0000-000084080000}"/>
    <cellStyle name="Währung0" xfId="2160" xr:uid="{00000000-0005-0000-0000-000085080000}"/>
    <cellStyle name="Warning Text 2" xfId="2161" xr:uid="{00000000-0005-0000-0000-000086080000}"/>
    <cellStyle name="Warning Text 3" xfId="2162" xr:uid="{00000000-0005-0000-0000-000087080000}"/>
    <cellStyle name="Warning Text 4" xfId="2163" xr:uid="{00000000-0005-0000-0000-000088080000}"/>
    <cellStyle name="Warning Text 5" xfId="2164" xr:uid="{00000000-0005-0000-0000-000089080000}"/>
    <cellStyle name="Warning Text 6" xfId="2165" xr:uid="{00000000-0005-0000-0000-00008A080000}"/>
    <cellStyle name="Warning Text 7" xfId="2166" xr:uid="{00000000-0005-0000-0000-00008B080000}"/>
    <cellStyle name="years" xfId="2167" xr:uid="{00000000-0005-0000-0000-00008C080000}"/>
    <cellStyle name="Zeile 1" xfId="2168" xr:uid="{00000000-0005-0000-0000-00008D080000}"/>
    <cellStyle name="Zeile 2" xfId="2169" xr:uid="{00000000-0005-0000-0000-00008E080000}"/>
    <cellStyle name="똿뗦먛귟 [0.00]_PRODUCT DETAIL Q1" xfId="2198" xr:uid="{00000000-0005-0000-0000-00008F080000}"/>
    <cellStyle name="똿뗦먛귟_PRODUCT DETAIL Q1" xfId="2199" xr:uid="{00000000-0005-0000-0000-000090080000}"/>
    <cellStyle name="믅됞 [0.00]_PRODUCT DETAIL Q1" xfId="2200" xr:uid="{00000000-0005-0000-0000-000091080000}"/>
    <cellStyle name="믅됞_PRODUCT DETAIL Q1" xfId="2201" xr:uid="{00000000-0005-0000-0000-000092080000}"/>
    <cellStyle name="백분율_HOBONG" xfId="2202" xr:uid="{00000000-0005-0000-0000-000093080000}"/>
    <cellStyle name="뷭?_BOOKSHIP" xfId="2203" xr:uid="{00000000-0005-0000-0000-000094080000}"/>
    <cellStyle name="콤마 [0]_1202" xfId="2204" xr:uid="{00000000-0005-0000-0000-000095080000}"/>
    <cellStyle name="콤마_1202" xfId="2205" xr:uid="{00000000-0005-0000-0000-000096080000}"/>
    <cellStyle name="통화 [0]_1202" xfId="2206" xr:uid="{00000000-0005-0000-0000-000097080000}"/>
    <cellStyle name="통화_1202" xfId="2207" xr:uid="{00000000-0005-0000-0000-000098080000}"/>
    <cellStyle name="표준_(정보부문)월별인원계획" xfId="2208" xr:uid="{00000000-0005-0000-0000-000099080000}"/>
    <cellStyle name="千位分隔_004-SO Summary List in 25-0604" xfId="2170" xr:uid="{00000000-0005-0000-0000-00009A080000}"/>
    <cellStyle name="常规_002-Summary List in July 04" xfId="2171" xr:uid="{00000000-0005-0000-0000-00009B080000}"/>
    <cellStyle name="桁区切り [0.00]_laroux" xfId="2172" xr:uid="{00000000-0005-0000-0000-00009C080000}"/>
    <cellStyle name="桁区切り_laroux" xfId="2173" xr:uid="{00000000-0005-0000-0000-00009D080000}"/>
    <cellStyle name="標準_94物件" xfId="2174" xr:uid="{00000000-0005-0000-0000-00009E080000}"/>
    <cellStyle name="貨幣[0]_pldt" xfId="2209" xr:uid="{00000000-0005-0000-0000-00009F080000}"/>
    <cellStyle name="通貨 [0.00]_laroux" xfId="2175" xr:uid="{00000000-0005-0000-0000-0000A0080000}"/>
    <cellStyle name="通貨_laroux" xfId="2176" xr:uid="{00000000-0005-0000-0000-0000A108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f1\working\1.%20WIP\Yamada\Project%20Report%2005.12.06\Data%20from%20Kawal%20sir\Bank%20of%20Indore\Yamada%20-%20Sodani%20Repo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2.%20Executed%20work\Raneka%20-%20Kapil\Raneka%20Fincom\FM%20Radio%20old\CBI\Financials%20BOI-with%20C-CM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c_4\c\111SanjayK\ABTRankings\AAbtranking\AAsamtel\Copy%20of%20AAsamt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Administrator\Downloads\1.%20WIP\Symbiotec\SIDBI\New%20Sidbi\SPL%20Sidbi%20Financi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caclubindia.com/WINDOWS/MSOFFICE/EXCEL/ITRETUR/ITFIRM/FORMA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csca-server\working\1.%20WIP\Raneka%20WIP\Raneka%20Fincom\FM%20Radio\BOI\PROJECT%20REPORT\Financials%20210307%20final%20submi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csca-server\working%20(d)\1.%20WIP\Jyoti%20Copper\Final%20Financial%20to%20MPFC%20with%20BE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ERVER\Data\Program%20Files\WinFin\Repor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Users\admin\Desktop\New%20Microsoft%20Excel%20Worksheet%20-%20Copy.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0.1.2\working\WIP\Varun%20Fertilizers\MPFC\Excel-Varun\Financial-%20cc%20and%20T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c_4\c\AAsamtel\Copy%20of%20AAsamt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sca-server\working%20(d)\1.%20WIP\SCC%20Projects%20Pvt%20Ltd\SCC%20Equity%2007\IM%20-%20Final\IM%20-%20Rs\SCC%2029%20Oct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517\PROCESS%20BANK\Ajay\Kunj%20Behari%20Enhancement\Nandikeshwari%20Steel%20Industries\Corporation%20bank\Financial%20merged1%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Documents%20and%20Settings\Admin\Application%20Data\Microsoft\Excel\Audited\ABS\sppl%2013-14%2036.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csca-server\Working\working\1.%20WIP\Varun%20Fertilizers\Finance\SBIn\Financial%20120707\Financial%20Varun%201207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hibasish-fin\sept03\program%20files\qualcomm\eudora%20mail\attach\program%20files\qualcomm\eudora%20mail\attach\My%20Document\Ram\Capital%20Budgeting\For%20presentatio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ourabh%20tandon\g\WDBL\MPCON\woodpecker%20%20PNB%203%20Jun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f1\working\Documents%20and%20Settings\ADMIN\Desktop\PATH\Projections%20MG+MR+KATN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Administrator\Downloads\1.%20WIP\Mittal%20Corp%20Limited\Wire%20Rod%20Project\ICICI%20Bank\Linked%20Financials%2017.09%2076.50%20Cr\MCL%20Financials%2076.50%20Cr.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csca-server\Working\1.%20WIP\NAMCO%20Steels\Finance\Project%20Report\Namco%203008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csca-server\Working\1.%20WIP\NAMCO%20Steels\Finance\Project%20Report\Financial-with%203%20to%20furnac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cpl_pb\ROSHNI\Project\G%20&amp;%20A%20Metals%20Pvt%20Ltd\Resubmission%2019.07.05\Financial\financial%20resubmitted%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F1\working\WIP\Highway%20Infra%20Pvt%20Ltd\SBIn\Final\Excel\Financials\Financials-Origin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10.1.2\working\Documents%20and%20Settings\NITIN\My%20Documents\TENDER%20CAL\MPRDC\JAORA%20NAYAGAON\JAORA%20NAYAGAON%20CASH_FLOW-MK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ac_4\c\111SanjayK\ABTRankings\AAbtranking\AAsamtel\Copy%20of%20Modsam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TSERVER\Data\Actpro%2099\clients\Baylabs\Calculations\Annual\EVA%20Annual%20Calculation%20Template%20-%2019%20Oct%2099.xls"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prate\Downloads\CMA%20-%20Simran%20Agrovet%20ver%207.0%20(1).xlsx" TargetMode="External"/><Relationship Id="rId1" Type="http://schemas.openxmlformats.org/officeDocument/2006/relationships/externalLinkPath" Target="file:///C:\Users\prate\Downloads\CMA%20-%20Simran%20Agrovet%20ver%207.0%20(1).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https://d.docs.live.net/a44c60b9fc388625/Desktop/CMA%20-%20Simran%20Agrovet%20Enhancement%20ver%209.xlsx" TargetMode="External"/><Relationship Id="rId1" Type="http://schemas.openxmlformats.org/officeDocument/2006/relationships/externalLinkPath" Target="file:///C:\Users\prate\Downloads\CMA%20-%20Simran%20Agrovet%20Enhancement%20ver%209.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https://d.docs.live.net/a44c60b9fc388625/Desktop/CMA%20-%20Vegan%20Pro%20ver%2010.xlsx" TargetMode="External"/><Relationship Id="rId1" Type="http://schemas.openxmlformats.org/officeDocument/2006/relationships/externalLinkPath" Target="file:///C:\Users\prate\Downloads\CMA%20-%20Vegan%20Pro%20ver%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1.100\working%20(d)\Documents%20and%20Settings\MCS\Desktop\Wind%20Mill%20Analys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517\PROCESS%20BANK\Ajay\East%20India%20Holding%20Pvt%20LTd\Final%20Project\Induction%20furnace%20of%207%20MT%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pl%20-%20process%20bank\Documents%20and%20Settings\Administrator\My%20Documents\HILLS%20CEMENT\HCCL-SBI\Hill%20Cements_01.04.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c\Working\gom\GOM\CMA%20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F1\working\WIP\Soni%20Ispat%20-%20Stainless%20Steel-expansion%20project\Banks%20&amp;%20FIs\BOM\project%20report\Financiali%20as%20per%20Prov%20BS%2015-09-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0.1.5\1.%20wip\Digiana%20Group\Digiana%20Projects%20Pvt.%20Ltd\Axis%20Bank\Vikram\Agrawal\Bharat\MANU-BOTT-FT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N-WDV"/>
      <sheetName val="Sheet1"/>
      <sheetName val="#exist"/>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cop"/>
      <sheetName val="Sch 2,3,4,5"/>
      <sheetName val="P&amp;M"/>
      <sheetName val="MFA"/>
      <sheetName val="PP"/>
      <sheetName val="Sales"/>
      <sheetName val="Exp"/>
      <sheetName val="P&amp;L"/>
      <sheetName val="FC."/>
      <sheetName val="CF"/>
      <sheetName val="BS"/>
      <sheetName val="E-P&amp;L "/>
      <sheetName val="E-BS "/>
      <sheetName val="C-P&amp;L "/>
      <sheetName val="C-BS "/>
      <sheetName val="WC"/>
      <sheetName val="Dep."/>
      <sheetName val="IT"/>
      <sheetName val="DSCR"/>
      <sheetName val="FM-CMA"/>
      <sheetName val="C-CMA"/>
      <sheetName val="IRR"/>
      <sheetName val="ROI"/>
      <sheetName val="BEP"/>
      <sheetName val="Sheet1"/>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right"/>
      <sheetName val="Assume"/>
      <sheetName val="Print Menu"/>
      <sheetName val="ResetModule"/>
      <sheetName val="Adjustments"/>
      <sheetName val="Export"/>
      <sheetName val="Income Statement Input"/>
      <sheetName val="Balance Sheet Input"/>
      <sheetName val="Support Schedules"/>
      <sheetName val="Income Statement"/>
      <sheetName val="Balance Sheet"/>
      <sheetName val="NOPAT"/>
      <sheetName val="NOPAT-SBS"/>
      <sheetName val="Capital"/>
      <sheetName val="Capital-SBS"/>
      <sheetName val="Cum Unusual"/>
      <sheetName val="COT"/>
      <sheetName val="CET"/>
      <sheetName val="EVA"/>
      <sheetName val="MVA"/>
      <sheetName val="Graphs-MVA"/>
      <sheetName val="EVA-MVA"/>
      <sheetName val="Graphs-EVA"/>
      <sheetName val="PerfSum"/>
      <sheetName val="SixPanel"/>
      <sheetName val="Forecast-Input"/>
      <sheetName val="Engine NOPAT"/>
      <sheetName val="Engine CAPITAL"/>
      <sheetName val="Valuation"/>
      <sheetName val="Charts"/>
      <sheetName val="Validation"/>
      <sheetName val="Leases"/>
      <sheetName val="Capitalized Expense"/>
      <sheetName val="wwww"/>
      <sheetName val="HideModule"/>
      <sheetName val="ruSureModule"/>
      <sheetName val="PrintModule"/>
    </sheetNames>
    <sheetDataSet>
      <sheetData sheetId="0" refreshError="1"/>
      <sheetData sheetId="1" refreshError="1">
        <row r="6">
          <cell r="D6">
            <v>1</v>
          </cell>
        </row>
      </sheetData>
      <sheetData sheetId="2" refreshError="1">
        <row r="4">
          <cell r="A4">
            <v>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2">
          <cell r="Q82">
            <v>0</v>
          </cell>
        </row>
        <row r="83">
          <cell r="Q83">
            <v>0</v>
          </cell>
        </row>
        <row r="84">
          <cell r="Q84">
            <v>0</v>
          </cell>
        </row>
        <row r="85">
          <cell r="Q85">
            <v>0</v>
          </cell>
        </row>
        <row r="86">
          <cell r="Q86">
            <v>297.91000000000003</v>
          </cell>
        </row>
        <row r="87">
          <cell r="Q87">
            <v>831.28</v>
          </cell>
        </row>
        <row r="88">
          <cell r="Q88">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3">
          <cell r="U13">
            <v>5633.1400999999996</v>
          </cell>
        </row>
      </sheetData>
      <sheetData sheetId="29" refreshError="1"/>
      <sheetData sheetId="30" refreshError="1"/>
      <sheetData sheetId="31" refreshError="1"/>
      <sheetData sheetId="32" refreshError="1"/>
      <sheetData sheetId="33" refreshError="1">
        <row r="64">
          <cell r="D64" t="b">
            <v>1</v>
          </cell>
          <cell r="E64">
            <v>0</v>
          </cell>
          <cell r="F64">
            <v>1</v>
          </cell>
        </row>
        <row r="77">
          <cell r="P77">
            <v>1.9172729373953573E-3</v>
          </cell>
        </row>
      </sheetData>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 - Ferm"/>
      <sheetName val="SEZ - Horm"/>
      <sheetName val="Sales"/>
      <sheetName val="RM "/>
      <sheetName val="Assump "/>
      <sheetName val="P&amp;L "/>
      <sheetName val="BS  "/>
      <sheetName val="CF "/>
      <sheetName val="WC"/>
      <sheetName val="SBI - 18.75"/>
      <sheetName val="SBI - 3.50"/>
      <sheetName val="SBI - 5.00"/>
      <sheetName val="Dep"/>
      <sheetName val="IT"/>
      <sheetName val="dscr"/>
      <sheetName val="BEP"/>
      <sheetName val="IRR"/>
      <sheetName val="CMA"/>
      <sheetName val="R - Sales"/>
      <sheetName val="R - RM"/>
      <sheetName val="R - Assump"/>
      <sheetName val="R - P&amp;L"/>
      <sheetName val="R - WC"/>
      <sheetName val="R - CF "/>
      <sheetName val="R - BS "/>
      <sheetName val="R SBI - 2.25"/>
      <sheetName val="R SBI - 1.25"/>
      <sheetName val="R ICICI - 1.25"/>
      <sheetName val="R SBI - 8.00"/>
      <sheetName val="R WCMTL - 6.00"/>
      <sheetName val="R - DEP"/>
      <sheetName val="R - IT"/>
      <sheetName val="R - DSCR"/>
      <sheetName val="R - CMA"/>
      <sheetName val="C-P&amp;L"/>
      <sheetName val="C - CF"/>
      <sheetName val="C-CF"/>
      <sheetName val="C- WC"/>
      <sheetName val="C- BS"/>
      <sheetName val="C-DSCR"/>
      <sheetName val="C-C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sheetNames>
    <definedNames>
      <definedName name="Button3_Click" refersTo="#REF!"/>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cop"/>
      <sheetName val="Sch 2,3,4,5"/>
      <sheetName val="P&amp;M"/>
      <sheetName val="MFA"/>
      <sheetName val="PP"/>
      <sheetName val="Sales"/>
      <sheetName val="Exp"/>
      <sheetName val="P&amp;L"/>
      <sheetName val="FC."/>
      <sheetName val="CF"/>
      <sheetName val="BS"/>
      <sheetName val="E-P&amp;L "/>
      <sheetName val="E-BS "/>
      <sheetName val="C-P&amp;L "/>
      <sheetName val="C-BS "/>
      <sheetName val="WC"/>
      <sheetName val="Dep."/>
      <sheetName val="IT"/>
      <sheetName val="DSCR"/>
      <sheetName val="FM-CMA"/>
      <sheetName val="C-CMA"/>
      <sheetName val="IRR"/>
      <sheetName val="ROI"/>
      <sheetName val="BEP"/>
      <sheetName val="Sheet1"/>
      <sheetName val="working"/>
    </sheetNames>
    <sheetDataSet>
      <sheetData sheetId="0">
        <row r="3">
          <cell r="A3" t="str">
            <v xml:space="preserve">    SCHEDULES</v>
          </cell>
        </row>
      </sheetData>
      <sheetData sheetId="1" refreshError="1"/>
      <sheetData sheetId="2" refreshError="1"/>
      <sheetData sheetId="3"/>
      <sheetData sheetId="4">
        <row r="1">
          <cell r="B1" t="str">
            <v>SCHEDULE - 06</v>
          </cell>
        </row>
        <row r="2">
          <cell r="B2" t="str">
            <v>PLANT AND MACHINERY</v>
          </cell>
        </row>
        <row r="4">
          <cell r="B4" t="str">
            <v>Particulars</v>
          </cell>
          <cell r="C4" t="str">
            <v>Supplier</v>
          </cell>
          <cell r="E4" t="str">
            <v xml:space="preserve">  Total</v>
          </cell>
        </row>
        <row r="5">
          <cell r="E5" t="str">
            <v>(Rs in lakhs)</v>
          </cell>
        </row>
        <row r="7">
          <cell r="B7" t="str">
            <v>Studio Equipments (including STL)</v>
          </cell>
          <cell r="E7">
            <v>113.68241</v>
          </cell>
        </row>
        <row r="8">
          <cell r="B8" t="str">
            <v xml:space="preserve">  -  On Air Digital Studio</v>
          </cell>
          <cell r="C8" t="str">
            <v>Falcon Technologies</v>
          </cell>
          <cell r="D8">
            <v>24.97983</v>
          </cell>
        </row>
        <row r="9">
          <cell r="B9" t="str">
            <v xml:space="preserve">  -  Digital Auto Control Studio</v>
          </cell>
          <cell r="D9">
            <v>24.249603999999998</v>
          </cell>
        </row>
        <row r="10">
          <cell r="B10" t="str">
            <v xml:space="preserve">  -  Central Control (Generic)</v>
          </cell>
          <cell r="D10">
            <v>16.276824000000001</v>
          </cell>
        </row>
        <row r="11">
          <cell r="B11" t="str">
            <v xml:space="preserve">  -  Studio Transmission Link</v>
          </cell>
          <cell r="D11">
            <v>15.52225</v>
          </cell>
        </row>
        <row r="12">
          <cell r="B12" t="str">
            <v xml:space="preserve">  -  Accoustics Treatment</v>
          </cell>
          <cell r="D12">
            <v>16.988</v>
          </cell>
        </row>
        <row r="13">
          <cell r="B13" t="str">
            <v xml:space="preserve">  -  Technical Furniture</v>
          </cell>
          <cell r="D13">
            <v>1.8</v>
          </cell>
        </row>
        <row r="14">
          <cell r="B14" t="str">
            <v xml:space="preserve">  -  Installation Charges</v>
          </cell>
          <cell r="D14">
            <v>5.2059999999999995</v>
          </cell>
        </row>
        <row r="15">
          <cell r="B15" t="str">
            <v xml:space="preserve">  -  Other Equipments</v>
          </cell>
          <cell r="D15">
            <v>8.6599019999999989</v>
          </cell>
        </row>
        <row r="17">
          <cell r="B17" t="str">
            <v>Transmitter</v>
          </cell>
          <cell r="E17">
            <v>59.703200000000002</v>
          </cell>
        </row>
        <row r="18">
          <cell r="B18" t="str">
            <v xml:space="preserve">  -  5 kW FM Transmitter</v>
          </cell>
          <cell r="C18" t="str">
            <v>HBE</v>
          </cell>
        </row>
        <row r="19">
          <cell r="B19" t="str">
            <v xml:space="preserve">  -  1 kW Standby Transmitter</v>
          </cell>
        </row>
        <row r="20">
          <cell r="B20" t="str">
            <v xml:space="preserve">  -  Other Ancilliary Equipments</v>
          </cell>
        </row>
        <row r="22">
          <cell r="B22" t="str">
            <v xml:space="preserve">AC,UPS &amp; Gennset  </v>
          </cell>
          <cell r="E22">
            <v>16</v>
          </cell>
        </row>
        <row r="23">
          <cell r="B23" t="str">
            <v xml:space="preserve">  -  UPS &amp; Gennset</v>
          </cell>
          <cell r="D23">
            <v>10</v>
          </cell>
        </row>
        <row r="24">
          <cell r="B24" t="str">
            <v xml:space="preserve">  -  AC &amp; UPS</v>
          </cell>
          <cell r="D24">
            <v>4</v>
          </cell>
        </row>
        <row r="25">
          <cell r="B25" t="str">
            <v xml:space="preserve">  -  AC ducting -Studio</v>
          </cell>
          <cell r="D25">
            <v>2</v>
          </cell>
        </row>
        <row r="27">
          <cell r="B27" t="str">
            <v>Total</v>
          </cell>
          <cell r="E27">
            <v>189.38561000000001</v>
          </cell>
        </row>
      </sheetData>
      <sheetData sheetId="5"/>
      <sheetData sheetId="6">
        <row r="1">
          <cell r="B1" t="str">
            <v>SCHEDULE - 09</v>
          </cell>
        </row>
        <row r="2">
          <cell r="B2" t="str">
            <v/>
          </cell>
        </row>
        <row r="3">
          <cell r="B3" t="str">
            <v>DETAILS OF PREL. &amp; PREOPERATIVE EXP.</v>
          </cell>
        </row>
        <row r="4">
          <cell r="B4" t="str">
            <v/>
          </cell>
        </row>
        <row r="6">
          <cell r="B6" t="str">
            <v xml:space="preserve">Employee Cost: - </v>
          </cell>
        </row>
        <row r="7">
          <cell r="B7" t="str">
            <v>Post</v>
          </cell>
          <cell r="C7" t="str">
            <v>No. of Persons</v>
          </cell>
        </row>
        <row r="9">
          <cell r="B9" t="str">
            <v xml:space="preserve">Station Head </v>
          </cell>
          <cell r="C9">
            <v>1</v>
          </cell>
        </row>
        <row r="10">
          <cell r="B10" t="str">
            <v>Marketing Head</v>
          </cell>
          <cell r="C10">
            <v>1</v>
          </cell>
        </row>
        <row r="11">
          <cell r="B11" t="str">
            <v>Technical Head</v>
          </cell>
          <cell r="C11">
            <v>1</v>
          </cell>
        </row>
        <row r="12">
          <cell r="B12" t="str">
            <v>Radio Jocky</v>
          </cell>
          <cell r="C12">
            <v>3</v>
          </cell>
        </row>
        <row r="13">
          <cell r="B13" t="str">
            <v>Technical Assistant</v>
          </cell>
          <cell r="C13">
            <v>3</v>
          </cell>
        </row>
        <row r="14">
          <cell r="B14" t="str">
            <v>Marketing Executive</v>
          </cell>
          <cell r="C14">
            <v>3</v>
          </cell>
        </row>
        <row r="15">
          <cell r="B15" t="str">
            <v>Security Guard</v>
          </cell>
          <cell r="C15">
            <v>2</v>
          </cell>
        </row>
        <row r="16">
          <cell r="B16" t="str">
            <v>Peon</v>
          </cell>
          <cell r="C16">
            <v>1</v>
          </cell>
        </row>
        <row r="17">
          <cell r="B17" t="str">
            <v>Driver</v>
          </cell>
          <cell r="C17">
            <v>1</v>
          </cell>
        </row>
        <row r="18">
          <cell r="B18" t="str">
            <v>Accountant</v>
          </cell>
          <cell r="C18">
            <v>1</v>
          </cell>
        </row>
        <row r="19">
          <cell r="B19" t="str">
            <v>Junior Accountant</v>
          </cell>
          <cell r="C19">
            <v>1</v>
          </cell>
        </row>
        <row r="20">
          <cell r="B20" t="str">
            <v>Receptionist</v>
          </cell>
          <cell r="C20">
            <v>1</v>
          </cell>
        </row>
        <row r="22">
          <cell r="B22" t="str">
            <v xml:space="preserve">Rent of Building </v>
          </cell>
        </row>
        <row r="24">
          <cell r="B24" t="str">
            <v>Pre. Launching Exp.</v>
          </cell>
        </row>
        <row r="25">
          <cell r="B25" t="str">
            <v>(Includes road shows expenses, advertisement expense etc.)</v>
          </cell>
        </row>
        <row r="27">
          <cell r="B27" t="str">
            <v>Launching on air</v>
          </cell>
        </row>
        <row r="28">
          <cell r="B28" t="str">
            <v>(Expenses on Opening Ceremony, Inviting Stars &amp; Celebrities)</v>
          </cell>
        </row>
        <row r="30">
          <cell r="B30" t="str">
            <v>Interest on Term Loan</v>
          </cell>
        </row>
        <row r="32">
          <cell r="B32" t="str">
            <v>Total Pre-Operative Expenses</v>
          </cell>
        </row>
      </sheetData>
      <sheetData sheetId="7" refreshError="1"/>
      <sheetData sheetId="8">
        <row r="3">
          <cell r="B3" t="str">
            <v>ASSUMPTIONS UNDERLYING PROFITABILITY PROJECTIONS</v>
          </cell>
        </row>
      </sheetData>
      <sheetData sheetId="9" refreshError="1"/>
      <sheetData sheetId="10" refreshError="1"/>
      <sheetData sheetId="11">
        <row r="1">
          <cell r="A1" t="str">
            <v>SCHEDULE - 14</v>
          </cell>
        </row>
      </sheetData>
      <sheetData sheetId="12">
        <row r="1">
          <cell r="A1" t="str">
            <v>SCHEDULE - 15</v>
          </cell>
        </row>
        <row r="2">
          <cell r="A2" t="str">
            <v>PROJECTED BALANCE SHEET</v>
          </cell>
          <cell r="B2" t="str">
            <v/>
          </cell>
        </row>
        <row r="3">
          <cell r="G3" t="str">
            <v>(Rs. In Lacs)</v>
          </cell>
        </row>
        <row r="4">
          <cell r="A4" t="str">
            <v xml:space="preserve">PARTICULARS                          </v>
          </cell>
          <cell r="B4" t="str">
            <v>2007-08</v>
          </cell>
          <cell r="C4" t="str">
            <v>2008-09</v>
          </cell>
          <cell r="D4" t="str">
            <v>2009-10</v>
          </cell>
          <cell r="E4" t="str">
            <v>2010-11</v>
          </cell>
          <cell r="F4" t="str">
            <v>2011-12</v>
          </cell>
          <cell r="G4" t="str">
            <v>2012-13</v>
          </cell>
        </row>
        <row r="6">
          <cell r="A6" t="str">
            <v>LIABILITIES :</v>
          </cell>
        </row>
        <row r="7">
          <cell r="A7" t="str">
            <v>(A)   Share Capital including Share Premium</v>
          </cell>
          <cell r="B7">
            <v>200</v>
          </cell>
          <cell r="C7">
            <v>200</v>
          </cell>
          <cell r="D7">
            <v>200</v>
          </cell>
          <cell r="E7">
            <v>200</v>
          </cell>
          <cell r="F7">
            <v>200</v>
          </cell>
          <cell r="G7">
            <v>200</v>
          </cell>
        </row>
        <row r="8">
          <cell r="A8" t="str">
            <v xml:space="preserve">(B)   Reserves &amp; Surplus        </v>
          </cell>
          <cell r="B8">
            <v>0.76179369341607317</v>
          </cell>
          <cell r="C8">
            <v>13.899036038918826</v>
          </cell>
          <cell r="D8">
            <v>37.347321100663571</v>
          </cell>
          <cell r="E8">
            <v>79.719500036542001</v>
          </cell>
          <cell r="F8">
            <v>122.80787593552394</v>
          </cell>
          <cell r="G8">
            <v>182.88124842384451</v>
          </cell>
        </row>
        <row r="9">
          <cell r="A9" t="str">
            <v>(C)   Term Loan</v>
          </cell>
          <cell r="B9">
            <v>200</v>
          </cell>
          <cell r="C9">
            <v>176</v>
          </cell>
          <cell r="D9">
            <v>140</v>
          </cell>
          <cell r="E9">
            <v>104</v>
          </cell>
          <cell r="F9">
            <v>56</v>
          </cell>
          <cell r="G9">
            <v>0</v>
          </cell>
        </row>
        <row r="10">
          <cell r="A10" t="str">
            <v>(D)   Unsecured Loan</v>
          </cell>
          <cell r="B10">
            <v>46.762597611111119</v>
          </cell>
          <cell r="C10">
            <v>46.762597611111119</v>
          </cell>
          <cell r="D10">
            <v>46.762597611111119</v>
          </cell>
          <cell r="E10">
            <v>46.762597611111119</v>
          </cell>
          <cell r="F10">
            <v>46.762597611111119</v>
          </cell>
          <cell r="G10">
            <v>46.762597611111119</v>
          </cell>
        </row>
        <row r="11">
          <cell r="A11" t="str">
            <v>(E)   Working Capital Limit</v>
          </cell>
          <cell r="B11">
            <v>20</v>
          </cell>
          <cell r="C11">
            <v>20</v>
          </cell>
          <cell r="D11">
            <v>20</v>
          </cell>
          <cell r="E11">
            <v>20</v>
          </cell>
          <cell r="F11">
            <v>20</v>
          </cell>
          <cell r="G11">
            <v>20</v>
          </cell>
        </row>
        <row r="12">
          <cell r="A12" t="str">
            <v xml:space="preserve">(E)   Current Liabilities       </v>
          </cell>
          <cell r="B12">
            <v>4.7469859722222223</v>
          </cell>
          <cell r="C12">
            <v>5.1939016805555553</v>
          </cell>
          <cell r="D12">
            <v>5.3803932374999999</v>
          </cell>
          <cell r="E12">
            <v>5.7633977551388895</v>
          </cell>
          <cell r="F12">
            <v>5.8782521847916662</v>
          </cell>
          <cell r="G12">
            <v>6.4051783710722221</v>
          </cell>
        </row>
        <row r="13">
          <cell r="A13" t="str">
            <v xml:space="preserve">      TOTAL LIABILITIES      </v>
          </cell>
          <cell r="B13">
            <v>472.27137727674938</v>
          </cell>
          <cell r="C13">
            <v>461.8555353305855</v>
          </cell>
          <cell r="D13">
            <v>449.49031194927471</v>
          </cell>
          <cell r="E13">
            <v>456.24549540279202</v>
          </cell>
          <cell r="F13">
            <v>451.44872573142675</v>
          </cell>
          <cell r="G13">
            <v>456.04902440602785</v>
          </cell>
        </row>
        <row r="15">
          <cell r="A15" t="str">
            <v>ASSETS :</v>
          </cell>
        </row>
        <row r="16">
          <cell r="A16" t="str">
            <v xml:space="preserve">(A)   Fixed Assets (Gross)      </v>
          </cell>
          <cell r="B16">
            <v>394.38561000000004</v>
          </cell>
          <cell r="C16">
            <v>394.38561000000004</v>
          </cell>
          <cell r="D16">
            <v>409.38561000000004</v>
          </cell>
          <cell r="E16">
            <v>459.38561000000004</v>
          </cell>
          <cell r="F16">
            <v>509.38561000000004</v>
          </cell>
          <cell r="G16">
            <v>559.38561000000004</v>
          </cell>
        </row>
        <row r="17">
          <cell r="A17" t="str">
            <v xml:space="preserve">      Less : Depreciation      </v>
          </cell>
          <cell r="B17">
            <v>29.993062627</v>
          </cell>
          <cell r="C17">
            <v>59.986125254000001</v>
          </cell>
          <cell r="D17">
            <v>91.039687881000006</v>
          </cell>
          <cell r="E17">
            <v>125.55425050800001</v>
          </cell>
          <cell r="F17">
            <v>163.41881313499999</v>
          </cell>
          <cell r="G17">
            <v>204.81837576199999</v>
          </cell>
        </row>
        <row r="18">
          <cell r="A18" t="str">
            <v xml:space="preserve">      NET BLOCK             </v>
          </cell>
          <cell r="B18">
            <v>364.39254737300007</v>
          </cell>
          <cell r="C18">
            <v>334.39948474600004</v>
          </cell>
          <cell r="D18">
            <v>318.34592211900002</v>
          </cell>
          <cell r="E18">
            <v>333.83135949200005</v>
          </cell>
          <cell r="F18">
            <v>345.96679686500005</v>
          </cell>
          <cell r="G18">
            <v>354.56723423800008</v>
          </cell>
        </row>
        <row r="19">
          <cell r="A19" t="str">
            <v xml:space="preserve">(B)   Current Assets         </v>
          </cell>
          <cell r="B19">
            <v>29.323500000000006</v>
          </cell>
          <cell r="C19">
            <v>34.683439999999997</v>
          </cell>
          <cell r="D19">
            <v>37.432783999999998</v>
          </cell>
          <cell r="E19">
            <v>43.603097599999998</v>
          </cell>
          <cell r="F19">
            <v>46.286147120000003</v>
          </cell>
          <cell r="G19">
            <v>52.974611336000002</v>
          </cell>
        </row>
        <row r="20">
          <cell r="A20" t="str">
            <v xml:space="preserve">(D)   Cash and Bank Balances   </v>
          </cell>
          <cell r="B20">
            <v>55.606663237082728</v>
          </cell>
          <cell r="C20">
            <v>75.561110584585492</v>
          </cell>
          <cell r="D20">
            <v>82.237272496941358</v>
          </cell>
          <cell r="E20">
            <v>73.073871644125362</v>
          </cell>
          <cell r="F20">
            <v>59.195781746426746</v>
          </cell>
          <cell r="G20">
            <v>48.507178832027876</v>
          </cell>
        </row>
        <row r="21">
          <cell r="A21" t="str">
            <v xml:space="preserve">(E)   Prel. Expenses Not W/off   </v>
          </cell>
          <cell r="B21">
            <v>22.948666666666668</v>
          </cell>
          <cell r="C21">
            <v>17.211500000000001</v>
          </cell>
          <cell r="D21">
            <v>11.474333333333334</v>
          </cell>
          <cell r="E21">
            <v>5.737166666666667</v>
          </cell>
          <cell r="F21">
            <v>0</v>
          </cell>
          <cell r="G21">
            <v>0</v>
          </cell>
        </row>
        <row r="22">
          <cell r="A22" t="str">
            <v xml:space="preserve">      TOTAL ASSETS          </v>
          </cell>
          <cell r="B22">
            <v>472.27137727674949</v>
          </cell>
          <cell r="C22">
            <v>461.85553533058555</v>
          </cell>
          <cell r="D22">
            <v>449.49031194927477</v>
          </cell>
          <cell r="E22">
            <v>456.24549540279207</v>
          </cell>
          <cell r="F22">
            <v>451.4487257314268</v>
          </cell>
          <cell r="G22">
            <v>456.04902440602797</v>
          </cell>
        </row>
        <row r="24">
          <cell r="A24" t="str">
            <v xml:space="preserve">      Networth</v>
          </cell>
          <cell r="B24">
            <v>177.81312702674941</v>
          </cell>
          <cell r="C24">
            <v>196.68753603891884</v>
          </cell>
          <cell r="D24">
            <v>225.87298776733024</v>
          </cell>
          <cell r="E24">
            <v>273.98233336987533</v>
          </cell>
          <cell r="F24">
            <v>322.80787593552395</v>
          </cell>
          <cell r="G24">
            <v>382.88124842384451</v>
          </cell>
        </row>
        <row r="25">
          <cell r="A25" t="str">
            <v xml:space="preserve">      Book Value             </v>
          </cell>
          <cell r="B25">
            <v>8.890656351337471</v>
          </cell>
          <cell r="C25">
            <v>9.8343768019459414</v>
          </cell>
          <cell r="D25">
            <v>11.293649388366513</v>
          </cell>
          <cell r="E25">
            <v>13.699116668493767</v>
          </cell>
          <cell r="F25">
            <v>16.140393796776198</v>
          </cell>
          <cell r="G25">
            <v>19.144062421192224</v>
          </cell>
        </row>
      </sheetData>
      <sheetData sheetId="13" refreshError="1"/>
      <sheetData sheetId="14" refreshError="1"/>
      <sheetData sheetId="15" refreshError="1"/>
      <sheetData sheetId="16" refreshError="1"/>
      <sheetData sheetId="17"/>
      <sheetData sheetId="18" refreshError="1"/>
      <sheetData sheetId="19" refreshError="1"/>
      <sheetData sheetId="20">
        <row r="1">
          <cell r="A1" t="str">
            <v>SCHEDULE - 24</v>
          </cell>
        </row>
        <row r="3">
          <cell r="A3" t="str">
            <v>DEBT SERVICE COVERAGE RATIO</v>
          </cell>
          <cell r="B3" t="str">
            <v/>
          </cell>
          <cell r="C3" t="str">
            <v/>
          </cell>
        </row>
        <row r="4">
          <cell r="A4" t="str">
            <v/>
          </cell>
          <cell r="B4" t="str">
            <v/>
          </cell>
          <cell r="C4" t="str">
            <v/>
          </cell>
          <cell r="D4" t="str">
            <v/>
          </cell>
          <cell r="E4" t="str">
            <v/>
          </cell>
          <cell r="F4" t="str">
            <v/>
          </cell>
          <cell r="G4" t="str">
            <v>(Rs. in Lakhs)</v>
          </cell>
        </row>
        <row r="5">
          <cell r="A5" t="str">
            <v>PARTICULARS</v>
          </cell>
        </row>
        <row r="6">
          <cell r="B6" t="str">
            <v>07-08</v>
          </cell>
          <cell r="C6" t="str">
            <v>08-09</v>
          </cell>
          <cell r="D6" t="str">
            <v>09-10</v>
          </cell>
          <cell r="E6" t="str">
            <v>10-11</v>
          </cell>
          <cell r="F6" t="str">
            <v>11-12</v>
          </cell>
          <cell r="G6" t="str">
            <v>12-13</v>
          </cell>
        </row>
        <row r="8">
          <cell r="A8" t="str">
            <v>Profit After Tax</v>
          </cell>
          <cell r="B8">
            <v>0.76179369341607317</v>
          </cell>
          <cell r="C8">
            <v>13.137242345502752</v>
          </cell>
          <cell r="D8">
            <v>23.448285061744745</v>
          </cell>
          <cell r="E8">
            <v>42.372178935878431</v>
          </cell>
          <cell r="F8">
            <v>43.088375898981937</v>
          </cell>
          <cell r="G8">
            <v>60.073372488320587</v>
          </cell>
        </row>
        <row r="9">
          <cell r="A9" t="str">
            <v>Depreciation</v>
          </cell>
          <cell r="B9">
            <v>29.993062627</v>
          </cell>
          <cell r="C9">
            <v>29.993062627</v>
          </cell>
          <cell r="D9">
            <v>31.053562627000002</v>
          </cell>
          <cell r="E9">
            <v>34.514562627000004</v>
          </cell>
          <cell r="F9">
            <v>37.864562626999998</v>
          </cell>
          <cell r="G9">
            <v>41.399562627000002</v>
          </cell>
        </row>
        <row r="10">
          <cell r="A10" t="str">
            <v>Interest On Term Loan</v>
          </cell>
          <cell r="B10">
            <v>19.479166666666668</v>
          </cell>
          <cell r="C10">
            <v>20.790000000000003</v>
          </cell>
          <cell r="D10">
            <v>17.544999999999998</v>
          </cell>
          <cell r="E10">
            <v>13.584999999999997</v>
          </cell>
          <cell r="F10">
            <v>9.02</v>
          </cell>
          <cell r="G10">
            <v>3.4375</v>
          </cell>
        </row>
        <row r="12">
          <cell r="A12" t="str">
            <v>Total</v>
          </cell>
          <cell r="B12">
            <v>50.234022987082739</v>
          </cell>
          <cell r="C12">
            <v>63.920304972502763</v>
          </cell>
          <cell r="D12">
            <v>72.046847688744748</v>
          </cell>
          <cell r="E12">
            <v>90.471741562878435</v>
          </cell>
          <cell r="F12">
            <v>89.972938525981931</v>
          </cell>
          <cell r="G12">
            <v>104.91043511532058</v>
          </cell>
        </row>
        <row r="14">
          <cell r="A14" t="str">
            <v>Instalment of Term Loan</v>
          </cell>
          <cell r="B14">
            <v>0</v>
          </cell>
          <cell r="C14">
            <v>24</v>
          </cell>
          <cell r="D14">
            <v>36</v>
          </cell>
          <cell r="E14">
            <v>36</v>
          </cell>
          <cell r="F14">
            <v>48</v>
          </cell>
          <cell r="G14">
            <v>56</v>
          </cell>
        </row>
        <row r="15">
          <cell r="A15" t="str">
            <v>Interest On Term Loan</v>
          </cell>
          <cell r="B15">
            <v>19.479166666666668</v>
          </cell>
          <cell r="C15">
            <v>20.790000000000003</v>
          </cell>
          <cell r="D15">
            <v>17.544999999999998</v>
          </cell>
          <cell r="E15">
            <v>13.584999999999997</v>
          </cell>
          <cell r="F15">
            <v>9.02</v>
          </cell>
          <cell r="G15">
            <v>3.4375</v>
          </cell>
        </row>
        <row r="17">
          <cell r="A17" t="str">
            <v>Total</v>
          </cell>
          <cell r="B17">
            <v>19.479166666666668</v>
          </cell>
          <cell r="C17">
            <v>44.790000000000006</v>
          </cell>
          <cell r="D17">
            <v>53.545000000000002</v>
          </cell>
          <cell r="E17">
            <v>49.584999999999994</v>
          </cell>
          <cell r="F17">
            <v>57.019999999999996</v>
          </cell>
          <cell r="G17">
            <v>59.4375</v>
          </cell>
        </row>
        <row r="18">
          <cell r="B18" t="str">
            <v/>
          </cell>
          <cell r="C18" t="str">
            <v/>
          </cell>
          <cell r="D18" t="str">
            <v/>
          </cell>
          <cell r="E18" t="str">
            <v/>
          </cell>
          <cell r="F18" t="str">
            <v/>
          </cell>
          <cell r="G18" t="str">
            <v/>
          </cell>
        </row>
        <row r="19">
          <cell r="A19" t="str">
            <v>Debt Service Coverage Ratio</v>
          </cell>
          <cell r="B19">
            <v>2.578858934096226</v>
          </cell>
          <cell r="C19">
            <v>1.4271110732865093</v>
          </cell>
          <cell r="D19">
            <v>1.3455382890791809</v>
          </cell>
          <cell r="E19">
            <v>1.8245788355929908</v>
          </cell>
          <cell r="F19">
            <v>1.57791894994707</v>
          </cell>
          <cell r="G19">
            <v>1.7650546391641737</v>
          </cell>
        </row>
        <row r="20">
          <cell r="A20" t="str">
            <v>Average D.S.C.R</v>
          </cell>
          <cell r="B20">
            <v>1.7531767868610253</v>
          </cell>
          <cell r="E20" t="str">
            <v/>
          </cell>
        </row>
      </sheetData>
      <sheetData sheetId="21" refreshError="1"/>
      <sheetData sheetId="22" refreshError="1"/>
      <sheetData sheetId="23" refreshError="1"/>
      <sheetData sheetId="24">
        <row r="1">
          <cell r="A1" t="str">
            <v>SCHEDULE - 26</v>
          </cell>
        </row>
      </sheetData>
      <sheetData sheetId="25">
        <row r="2">
          <cell r="A2" t="str">
            <v>SCHEDULE - 27</v>
          </cell>
        </row>
      </sheetData>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cop"/>
      <sheetName val="land"/>
      <sheetName val="Build"/>
      <sheetName val="P&amp;M"/>
      <sheetName val="MFA"/>
      <sheetName val="Cont."/>
      <sheetName val="PP"/>
      <sheetName val="Sales"/>
      <sheetName val="RM Assump"/>
      <sheetName val="Expenses"/>
      <sheetName val="P&amp;L"/>
      <sheetName val="WC"/>
      <sheetName val="FC."/>
      <sheetName val="Dep."/>
      <sheetName val="IT"/>
      <sheetName val="CF"/>
      <sheetName val="BS"/>
      <sheetName val="DSCR"/>
      <sheetName val="IRR"/>
      <sheetName val="ROI"/>
      <sheetName val="BEP"/>
      <sheetName val="CMA"/>
      <sheetName val="Working"/>
      <sheetName val="B"/>
    </sheetNames>
    <sheetDataSet>
      <sheetData sheetId="0" refreshError="1"/>
      <sheetData sheetId="1" refreshError="1"/>
      <sheetData sheetId="2" refreshError="1"/>
      <sheetData sheetId="3" refreshError="1">
        <row r="1">
          <cell r="A1" t="str">
            <v>SCHEDULE - 02</v>
          </cell>
        </row>
        <row r="2">
          <cell r="A2" t="str">
            <v/>
          </cell>
        </row>
        <row r="3">
          <cell r="A3" t="str">
            <v xml:space="preserve">DETAILS OF LAND &amp; SITE DEVELOPMENT  </v>
          </cell>
        </row>
        <row r="4">
          <cell r="A4" t="str">
            <v/>
          </cell>
          <cell r="B4" t="str">
            <v/>
          </cell>
        </row>
        <row r="5">
          <cell r="A5" t="str">
            <v>Particulars</v>
          </cell>
          <cell r="B5" t="str">
            <v>Amount</v>
          </cell>
        </row>
        <row r="6">
          <cell r="B6" t="str">
            <v>(Rs.in Lakhs)</v>
          </cell>
        </row>
        <row r="7">
          <cell r="A7" t="str">
            <v>Land</v>
          </cell>
        </row>
        <row r="8">
          <cell r="A8" t="str">
            <v>Plot No. 40-41, 6, 7, 8 &amp; 11, 12, 13 Industrial Area</v>
          </cell>
          <cell r="B8">
            <v>1.41</v>
          </cell>
        </row>
        <row r="9">
          <cell r="A9" t="str">
            <v>Dewas, Admeasuring 75081 Sq. Ft.</v>
          </cell>
        </row>
        <row r="10">
          <cell r="A10" t="str">
            <v>Land Registration &amp; other Charges</v>
          </cell>
        </row>
        <row r="12">
          <cell r="A12" t="str">
            <v>Site Development</v>
          </cell>
        </row>
        <row r="13">
          <cell r="A13" t="str">
            <v>Boundary Wall</v>
          </cell>
        </row>
        <row r="14">
          <cell r="A14" t="str">
            <v>Approcah Road, culvert, drainage,</v>
          </cell>
        </row>
        <row r="15">
          <cell r="A15" t="str">
            <v>Sewages Facilitues</v>
          </cell>
          <cell r="B15">
            <v>9.89</v>
          </cell>
        </row>
        <row r="16">
          <cell r="A16" t="str">
            <v>Tube well with Submerciable Pump</v>
          </cell>
        </row>
        <row r="18">
          <cell r="A18" t="str">
            <v>TOTAL</v>
          </cell>
          <cell r="B18">
            <v>11.3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B1" t="str">
            <v>SCHEDULE - 10</v>
          </cell>
        </row>
        <row r="3">
          <cell r="B3" t="str">
            <v>ASSUMPTIONS UNDERLYING PROFITABILITY PROJECTIONS</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lash"/>
      <sheetName val="ReportsParameters"/>
      <sheetName val="BRTABLE"/>
      <sheetName val="Cost_Of_Capital_Valuation"/>
      <sheetName val="Business_Risk_Valuation"/>
      <sheetName val="dlgCapitalizedExp"/>
      <sheetName val="dlgWACC"/>
      <sheetName val="dlgPVLeases"/>
      <sheetName val="dlgEVAAnalysis"/>
      <sheetName val="dlgBubbles"/>
      <sheetName val="dlgEVAMVAGraphs"/>
      <sheetName val="modEVAMVAGraphs"/>
      <sheetName val="Value_To_Book_Ratio_Valuation"/>
      <sheetName val="Book_Bond_Rating_Valuation"/>
      <sheetName val="Market_Bond_Rating_Valuation"/>
      <sheetName val="modReports"/>
      <sheetName val="Data"/>
      <sheetName val="Nopat_by_Years_Valuation"/>
      <sheetName val="Capital_by_Years_Valuation"/>
      <sheetName val="Bubbles_Valuation"/>
      <sheetName val="Bubbles_Graphs"/>
      <sheetName val="Graphs"/>
      <sheetName val="Free_Cash_Flow_Valuation"/>
      <sheetName val="EVA_Valuation"/>
      <sheetName val="Component_Valuation"/>
      <sheetName val="Income_Statement"/>
      <sheetName val="Balance_Sheet"/>
      <sheetName val="OriginalISBS"/>
    </sheetNames>
    <sheetDataSet>
      <sheetData sheetId="0" refreshError="1"/>
      <sheetData sheetId="1" refreshError="1">
        <row r="11">
          <cell r="B11">
            <v>1992</v>
          </cell>
        </row>
        <row r="12">
          <cell r="B12">
            <v>2000</v>
          </cell>
        </row>
        <row r="19">
          <cell r="C19">
            <v>19</v>
          </cell>
        </row>
        <row r="20">
          <cell r="C20" t="e">
            <v>#REF!</v>
          </cell>
        </row>
        <row r="21">
          <cell r="C21">
            <v>16</v>
          </cell>
        </row>
        <row r="26">
          <cell r="B26">
            <v>1</v>
          </cell>
        </row>
        <row r="29">
          <cell r="B29" t="str">
            <v>PSA Consolidated Group</v>
          </cell>
        </row>
        <row r="32">
          <cell r="B32">
            <v>-4146</v>
          </cell>
        </row>
        <row r="33">
          <cell r="B33" t="str">
            <v>Finanseer</v>
          </cell>
        </row>
        <row r="38">
          <cell r="B38" t="e">
            <v>#REF!</v>
          </cell>
        </row>
        <row r="42">
          <cell r="B42" t="str">
            <v/>
          </cell>
        </row>
        <row r="50">
          <cell r="A50" t="str">
            <v>$_(#,##0_);$(#,##0);_($0_)</v>
          </cell>
          <cell r="B50" t="str">
            <v>_(#,##0_)%;(#,##0)%;_(0%_)</v>
          </cell>
          <cell r="C50" t="str">
            <v>_(#,##0_);(#,##0);_(0_)</v>
          </cell>
          <cell r="D50" t="str">
            <v>_(#,##0_) x;(#,##0) x;_(0_) x</v>
          </cell>
          <cell r="E50" t="str">
            <v>_(#,##0"%"_);(#,##0"%");_(0"%"_)</v>
          </cell>
        </row>
        <row r="51">
          <cell r="A51" t="str">
            <v>$_(#,##0.0_);$(#,##0.0);_($0.0_)</v>
          </cell>
          <cell r="B51" t="str">
            <v>_(#,##0.0_)%;(#,##0.0)%;_(0.0%_)</v>
          </cell>
          <cell r="C51" t="str">
            <v>_(#,##0.0_);(#,##0.0);_(0.0_)</v>
          </cell>
          <cell r="D51" t="str">
            <v>_(#,##0.0_) x;(#,##0.0) x;_(0.0_) x</v>
          </cell>
          <cell r="E51" t="str">
            <v>_(#,##0.0"%"_);(#,##0.0)"%";_(0.0_)"%"</v>
          </cell>
        </row>
        <row r="52">
          <cell r="A52" t="str">
            <v>$_(#,##0.00_);$(#,##0.00);_($0.00_)</v>
          </cell>
          <cell r="B52" t="str">
            <v>_(#,##0.00%_);(#,##0.00%);_(0.00%_)</v>
          </cell>
          <cell r="C52" t="str">
            <v>_(#,##0.00_);(#,##0.00);_(0.00_)</v>
          </cell>
          <cell r="D52" t="str">
            <v>_(#,##0.00_) x;(#,##0.00) x;0.00 x</v>
          </cell>
          <cell r="E52" t="str">
            <v>_(#,##0.00"%"_);(#,##0.00"%");_(0.00"%"_)</v>
          </cell>
        </row>
        <row r="53">
          <cell r="A53" t="str">
            <v>$_(#,##0.000_);$(#,##0.000);_($0.000_)</v>
          </cell>
          <cell r="B53" t="str">
            <v>_(#,##0.000%_);(#,##0.000%);_(0.000%_)</v>
          </cell>
          <cell r="C53" t="str">
            <v>_(#,##0.000_);(#,##0.000);_(0.000_)</v>
          </cell>
          <cell r="D53" t="str">
            <v>_(#,##0.000_) x;(#,##0.000) x;0.000 x</v>
          </cell>
          <cell r="E53" t="str">
            <v>_(#,##0.000"%"_);(#,##0.000"%");_(0.000"%"_)</v>
          </cell>
        </row>
        <row r="54">
          <cell r="A54" t="str">
            <v>$_(#,##0.0000_);$(#,##0.0000);_($0.0000_)</v>
          </cell>
          <cell r="B54" t="str">
            <v>_(#,##0.0000%_);(#,##0.0000%);_(0.0000%_)</v>
          </cell>
          <cell r="C54" t="str">
            <v>_(#,##0.0000_);(#,##0.0000);_(0.0000_)</v>
          </cell>
          <cell r="D54" t="str">
            <v>_(#,##0.0000_) x;(#,##0.0000) x;0.0000 x</v>
          </cell>
          <cell r="E54" t="str">
            <v>_(#,##0.0000"%"_);(#,##0.0000"%");_(0.0000"%"_)</v>
          </cell>
        </row>
        <row r="55">
          <cell r="A55" t="str">
            <v>$_(#,##0.00000_);$(#,##0.00000);_($0.00000_)</v>
          </cell>
          <cell r="B55" t="str">
            <v>_(#,##0.00000%_);(#,##0.00000%);_(0.00000%_)</v>
          </cell>
          <cell r="C55" t="str">
            <v>_(#,##0.00000_);(#,##0.00000);_(0.00000_)</v>
          </cell>
          <cell r="D55" t="str">
            <v>_(#,##0.00000_) x;(#,##0.00000) x;0.00000 x</v>
          </cell>
          <cell r="E55" t="str">
            <v>_(#,##0.00000"%"_);(#,##0.00000"%");_(0.00000"%"_)</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M_PrintSetUpDone</v>
          </cell>
          <cell r="B1" t="b">
            <v>0</v>
          </cell>
          <cell r="Q1" t="str">
            <v>Forecast</v>
          </cell>
          <cell r="R1" t="str">
            <v>Forecast</v>
          </cell>
          <cell r="X1" t="str">
            <v>Forecast</v>
          </cell>
          <cell r="Y1" t="str">
            <v>Forecast</v>
          </cell>
          <cell r="Z1" t="str">
            <v>Forecast</v>
          </cell>
        </row>
      </sheetData>
      <sheetData sheetId="17" refreshError="1"/>
      <sheetData sheetId="18" refreshError="1">
        <row r="8">
          <cell r="B8">
            <v>6</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cop"/>
      <sheetName val="land"/>
      <sheetName val="Build"/>
      <sheetName val="P&amp;M"/>
      <sheetName val="MFA"/>
      <sheetName val="Cont."/>
      <sheetName val="PP"/>
      <sheetName val="Sales"/>
      <sheetName val="RM Assump"/>
      <sheetName val="Expenses"/>
      <sheetName val="P&amp;L"/>
      <sheetName val="WC"/>
      <sheetName val="FC."/>
      <sheetName val="Dep."/>
      <sheetName val="IT"/>
      <sheetName val="CF"/>
      <sheetName val="BS"/>
      <sheetName val="DSCR"/>
      <sheetName val="IRR"/>
      <sheetName val="ROI"/>
      <sheetName val="BEP"/>
      <sheetName val="CMA"/>
      <sheetName val="Working"/>
      <sheetName val="Financial- cc and T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right"/>
      <sheetName val="Assume"/>
      <sheetName val="Print Menu"/>
      <sheetName val="ResetModule"/>
      <sheetName val="Adjustments"/>
      <sheetName val="Export"/>
      <sheetName val="Income Statement Input"/>
      <sheetName val="Balance Sheet Input"/>
      <sheetName val="Support Schedules"/>
      <sheetName val="Income Statement"/>
      <sheetName val="Balance Sheet"/>
      <sheetName val="NOPAT"/>
      <sheetName val="NOPAT-SBS"/>
      <sheetName val="Capital"/>
      <sheetName val="Capital-SBS"/>
      <sheetName val="Cum Unusual"/>
      <sheetName val="COT"/>
      <sheetName val="CET"/>
      <sheetName val="EVA"/>
      <sheetName val="MVA"/>
      <sheetName val="Graphs-MVA"/>
      <sheetName val="EVA-MVA"/>
      <sheetName val="Graphs-EVA"/>
      <sheetName val="PerfSum"/>
      <sheetName val="SixPanel"/>
      <sheetName val="Forecast-Input"/>
      <sheetName val="Engine NOPAT"/>
      <sheetName val="Engine CAPITAL"/>
      <sheetName val="Valuation"/>
      <sheetName val="Charts"/>
      <sheetName val="Validation"/>
      <sheetName val="Leases"/>
      <sheetName val="Capitalized Expense"/>
      <sheetName val="wwww"/>
      <sheetName val="HideModule"/>
      <sheetName val="ruSureModule"/>
      <sheetName val="PrintModule"/>
      <sheetName val="Reset-Module"/>
      <sheetName val="Hide-Module"/>
      <sheetName val="ruSure-Module"/>
      <sheetName val="Print Module"/>
      <sheetName val="cop"/>
    </sheetNames>
    <sheetDataSet>
      <sheetData sheetId="0" refreshError="1"/>
      <sheetData sheetId="1" refreshError="1">
        <row r="6">
          <cell r="D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ssump"/>
      <sheetName val="DEP"/>
      <sheetName val="IT"/>
      <sheetName val="WC"/>
      <sheetName val="CF"/>
      <sheetName val="BS"/>
      <sheetName val="BV&amp;EV cal -P"/>
      <sheetName val="CMA"/>
      <sheetName val="BEP"/>
      <sheetName val="Term Loan"/>
      <sheetName val="Corp Loan"/>
      <sheetName val="Key Ratios-IM"/>
      <sheetName val="B S -IM"/>
      <sheetName val="P&amp;L"/>
      <sheetName val="P &amp; L -IM"/>
      <sheetName val="Key data-IM"/>
      <sheetName val="BV&amp;EV cal"/>
      <sheetName val="Key Ratios-IM-P "/>
      <sheetName val="B S -IM -P"/>
      <sheetName val="P &amp; L -IM -P"/>
      <sheetName val="Key data-IM -P"/>
      <sheetName val="Chart - Return Ratio"/>
      <sheetName val="Chart - Debt Equity"/>
      <sheetName val="Chart - Revenue"/>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A"/>
      <sheetName val="Index"/>
      <sheetName val="merged BS"/>
      <sheetName val="merged PL"/>
      <sheetName val="merged CF"/>
      <sheetName val="Merged DSCR"/>
      <sheetName val="MergedPay Back, IRR"/>
      <sheetName val="Merged TAx"/>
      <sheetName val="existing BS"/>
      <sheetName val="existing PL"/>
      <sheetName val="existing CF"/>
      <sheetName val="Tax existing"/>
      <sheetName val="Project Cost"/>
      <sheetName val="Balance Sheet"/>
      <sheetName val="Cash Flow"/>
      <sheetName val="DSCR"/>
      <sheetName val="Pay Back, IRR"/>
      <sheetName val="Land"/>
      <sheetName val="I. Civil"/>
      <sheetName val="Plant"/>
      <sheetName val="Misc F.Assets"/>
      <sheetName val="Pre-Op"/>
      <sheetName val="Cont Asset"/>
      <sheetName val="IV. Working capital"/>
      <sheetName val="Dep(IT)"/>
      <sheetName val="IX. R.M. Cost"/>
      <sheetName val="Consumable"/>
      <sheetName val="Salary"/>
      <sheetName val="P &amp; L"/>
      <sheetName val="Power &amp; Fuel"/>
      <sheetName val="Term Loan"/>
      <sheetName val="Tax"/>
      <sheetName val="Sheet2"/>
      <sheetName val="Salary-1"/>
      <sheetName val="Merged Project cos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er"/>
      <sheetName val="Parameters"/>
      <sheetName val="FS"/>
      <sheetName val="Def Tax"/>
      <sheetName val="1 and 2"/>
      <sheetName val="Notes 3-41"/>
      <sheetName val="Note 10"/>
      <sheetName val="CFS"/>
      <sheetName val="Dep Cl CON Mar14"/>
      <sheetName val="Tracker Summary-1"/>
      <sheetName val="Tracker Summary-2"/>
      <sheetName val="Reco of Profit"/>
      <sheetName val="Dep Rau IT"/>
      <sheetName val="Dep SEZ IT"/>
      <sheetName val="Utilisation of Fund"/>
      <sheetName val="Notes-Consolidate"/>
      <sheetName val="Dep Cl CON13"/>
      <sheetName val="Advance Tax"/>
      <sheetName val="Tax"/>
      <sheetName val="MAT &amp; AY Wise Tax Details"/>
      <sheetName val="Gratuity"/>
      <sheetName val="Trade Payables and Advances"/>
      <sheetName val="FS -R&amp;D"/>
      <sheetName val="FS -RAU"/>
      <sheetName val="Notes 3-41 Rau"/>
      <sheetName val="Sub SCH - RAU"/>
      <sheetName val="TB Rau-310314"/>
      <sheetName val="Dep Rau Mar14"/>
      <sheetName val="Dep. R&amp;D mar14"/>
      <sheetName val="Dep Cal Working Rau Mar14"/>
      <sheetName val="FS -SEZ"/>
      <sheetName val="FS -TD"/>
      <sheetName val="Notes 3-41 SEZ"/>
      <sheetName val="Sub Sch SEZ "/>
      <sheetName val="TB SEZ-310314"/>
      <sheetName val="Dep SEZ Mar14"/>
      <sheetName val="Dep Cal SEZ Mar14"/>
      <sheetName val="Notes 3-41-TD"/>
      <sheetName val="Sub Sch - TD"/>
      <sheetName val="TB-TD 310314"/>
      <sheetName val="Notes 3-41- R&amp;D"/>
      <sheetName val="Sub Sch - R&amp;D"/>
      <sheetName val="TB- R&amp;D 310314"/>
      <sheetName val="Dep Cal R&amp;D Mar14"/>
      <sheetName val="Inter-unit reco"/>
    </sheetNames>
    <sheetDataSet>
      <sheetData sheetId="0"/>
      <sheetData sheetId="1">
        <row r="4">
          <cell r="B4" t="str">
            <v>31st March, 2014</v>
          </cell>
        </row>
        <row r="5">
          <cell r="B5" t="str">
            <v>31st March, 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land"/>
      <sheetName val="Build"/>
      <sheetName val="P&amp;M"/>
      <sheetName val="MFA"/>
      <sheetName val="Cont."/>
      <sheetName val="PP"/>
      <sheetName val="cop"/>
      <sheetName val="Sales"/>
      <sheetName val="RM Assump"/>
      <sheetName val="Expenses"/>
      <sheetName val="P&amp;L"/>
      <sheetName val="WC"/>
      <sheetName val="Dep."/>
      <sheetName val="IT"/>
      <sheetName val="CF"/>
      <sheetName val="BS"/>
      <sheetName val="CMA"/>
      <sheetName val="Working"/>
      <sheetName val="B"/>
      <sheetName val="DSCR"/>
      <sheetName val="FC"/>
      <sheetName val="IRR"/>
      <sheetName val="ROI"/>
      <sheetName val="BEP"/>
      <sheetName val="HI-TAR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 of Changes"/>
      <sheetName val="Copyright"/>
      <sheetName val="b"/>
      <sheetName val="Instructions"/>
      <sheetName val="Assumptions"/>
      <sheetName val="Supporting Sheet"/>
      <sheetName val="Input"/>
      <sheetName val="TV"/>
      <sheetName val="NOPAT"/>
      <sheetName val="Capital"/>
      <sheetName val="Valuation"/>
      <sheetName val="Dashboard"/>
      <sheetName val="EVA vs FCF Graph"/>
      <sheetName val="IRR"/>
      <sheetName val="Payback"/>
      <sheetName val="Payback Chart"/>
      <sheetName val="Sensitivity-Tornado"/>
      <sheetName val="Scenario Analysis"/>
      <sheetName val="Summary Output"/>
      <sheetName val="Sample Monte Carlo REPORT"/>
      <sheetName val="Depr 1"/>
      <sheetName val="Depr 2"/>
      <sheetName val="Depr 3"/>
      <sheetName val="Depr 4"/>
      <sheetName val="Depr 5"/>
      <sheetName val="Amort"/>
      <sheetName val="Module2"/>
      <sheetName val="Module1"/>
      <sheetName val="Dialog1"/>
      <sheetName val="Module4"/>
      <sheetName val="Chart1"/>
      <sheetName val="Rebuild Option"/>
      <sheetName val="Replace Option"/>
      <sheetName val="Divest Analy"/>
      <sheetName val="Parameters"/>
      <sheetName val="TB9899"/>
    </sheetNames>
    <sheetDataSet>
      <sheetData sheetId="0" refreshError="1"/>
      <sheetData sheetId="1" refreshError="1"/>
      <sheetData sheetId="2" refreshError="1">
        <row r="11">
          <cell r="C11" t="b">
            <v>1</v>
          </cell>
        </row>
      </sheetData>
      <sheetData sheetId="3" refreshError="1"/>
      <sheetData sheetId="4" refreshError="1"/>
      <sheetData sheetId="5" refreshError="1"/>
      <sheetData sheetId="6" refreshError="1">
        <row r="10">
          <cell r="C10">
            <v>100</v>
          </cell>
        </row>
        <row r="123">
          <cell r="B123">
            <v>10</v>
          </cell>
        </row>
        <row r="124">
          <cell r="B124">
            <v>5</v>
          </cell>
        </row>
        <row r="132">
          <cell r="B132">
            <v>5</v>
          </cell>
          <cell r="C132">
            <v>10</v>
          </cell>
          <cell r="D132">
            <v>11.000000000000002</v>
          </cell>
          <cell r="E132">
            <v>12.100000000000003</v>
          </cell>
          <cell r="F132">
            <v>13.310000000000006</v>
          </cell>
          <cell r="G132">
            <v>13.709300000000006</v>
          </cell>
          <cell r="H132">
            <v>14.120579000000006</v>
          </cell>
          <cell r="I132">
            <v>14.544196370000007</v>
          </cell>
          <cell r="J132">
            <v>14.544196370000007</v>
          </cell>
          <cell r="K132">
            <v>14.544196370000007</v>
          </cell>
          <cell r="L132">
            <v>14.544196370000007</v>
          </cell>
        </row>
        <row r="133">
          <cell r="B133">
            <v>5</v>
          </cell>
          <cell r="C133">
            <v>1</v>
          </cell>
          <cell r="D133">
            <v>1.1000000000000003</v>
          </cell>
          <cell r="E133">
            <v>1.2100000000000004</v>
          </cell>
          <cell r="F133">
            <v>1.3310000000000006</v>
          </cell>
          <cell r="G133">
            <v>1.3709300000000006</v>
          </cell>
          <cell r="H133">
            <v>1.4120579000000006</v>
          </cell>
          <cell r="I133">
            <v>1.4544196370000009</v>
          </cell>
          <cell r="J133">
            <v>1.4544196370000009</v>
          </cell>
          <cell r="K133">
            <v>1.4544196370000009</v>
          </cell>
          <cell r="L133">
            <v>1.4544196370000009</v>
          </cell>
        </row>
        <row r="139">
          <cell r="C139">
            <v>0.82191780821917804</v>
          </cell>
          <cell r="D139">
            <v>0.90410958904109595</v>
          </cell>
          <cell r="E139">
            <v>0.99452054794520572</v>
          </cell>
          <cell r="F139">
            <v>1.0939726027397265</v>
          </cell>
          <cell r="G139">
            <v>1.1267917808219183</v>
          </cell>
          <cell r="H139">
            <v>1.1605955342465759</v>
          </cell>
          <cell r="I139">
            <v>1.1954134002739731</v>
          </cell>
          <cell r="J139">
            <v>1.1954134002739731</v>
          </cell>
          <cell r="K139">
            <v>1.1954134002739731</v>
          </cell>
          <cell r="L139">
            <v>1.1954134002739731</v>
          </cell>
        </row>
        <row r="162">
          <cell r="B162" t="b">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COP"/>
      <sheetName val="Term Loan Schedule"/>
      <sheetName val="P&amp;L"/>
      <sheetName val="Depreciation &amp; Tax"/>
      <sheetName val="BS &amp; FF"/>
      <sheetName val="WC"/>
      <sheetName val="Sensitivity"/>
    </sheetNames>
    <sheetDataSet>
      <sheetData sheetId="0">
        <row r="14">
          <cell r="D14">
            <v>46112</v>
          </cell>
        </row>
      </sheetData>
      <sheetData sheetId="1"/>
      <sheetData sheetId="2"/>
      <sheetData sheetId="3"/>
      <sheetData sheetId="4"/>
      <sheetData sheetId="5"/>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S"/>
      <sheetName val="BS. KT"/>
      <sheetName val="BS. MG RD"/>
      <sheetName val="BS. MR 10"/>
      <sheetName val="Con BS."/>
      <sheetName val="CASH FL"/>
      <sheetName val="CF KT"/>
      <sheetName val="CF MG RD"/>
      <sheetName val="CF MR10"/>
      <sheetName val="Con CF."/>
      <sheetName val="PROFIT"/>
      <sheetName val="Profit KT"/>
      <sheetName val="Profit MG RD"/>
      <sheetName val="Profit MR 10"/>
      <sheetName val="Con P&amp;L"/>
      <sheetName val="TOLL MR10"/>
      <sheetName val="TOLL MG RD"/>
      <sheetName val="TOLL KATNI"/>
      <sheetName val="DISB MR 10"/>
      <sheetName val="DISB KT"/>
      <sheetName val="DISB MG RD"/>
      <sheetName val="REPMT MG RD"/>
      <sheetName val="REPMT- MR10"/>
      <sheetName val="REPMT KT"/>
      <sheetName val="REPMT"/>
      <sheetName val="DEPREC"/>
      <sheetName val="PERIODIC M"/>
      <sheetName val="IRR"/>
      <sheetName val="DSCR"/>
      <sheetName val="Mandsaur P&amp;L"/>
      <sheetName val="Mandsaur CF"/>
      <sheetName val="REPMT MANDSUR"/>
      <sheetName val="MANDSAUR"/>
      <sheetName val="Sensitivity"/>
      <sheetName val="SUMMARY"/>
      <sheetName val="ASSUMPTIONS"/>
      <sheetName val="QTY"/>
      <sheetName val="AMT"/>
      <sheetName val="COST"/>
      <sheetName val="INI. DIS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 Price"/>
      <sheetName val="Int Working"/>
      <sheetName val="working"/>
      <sheetName val="COP"/>
      <sheetName val="Land &amp; Site"/>
      <sheetName val="Building"/>
      <sheetName val="P&amp;M"/>
      <sheetName val="MFA"/>
      <sheetName val="Cont &amp; PP"/>
      <sheetName val="Sale &amp; RM"/>
      <sheetName val="assump"/>
      <sheetName val="P&amp;L"/>
      <sheetName val="WC"/>
      <sheetName val="CF"/>
      <sheetName val="BS"/>
      <sheetName val="FC - I"/>
      <sheetName val="Dep"/>
      <sheetName val="IT"/>
      <sheetName val="dscr"/>
      <sheetName val="BEP"/>
      <sheetName val="IRR"/>
      <sheetName val="CMA"/>
      <sheetName val="J - COP"/>
      <sheetName val="New Sales"/>
      <sheetName val="New RM"/>
      <sheetName val="J-Assump"/>
      <sheetName val="J-Assump Rolling"/>
      <sheetName val="J-P&amp;L"/>
      <sheetName val="J-WC"/>
      <sheetName val="J-CF "/>
      <sheetName val="J-BS "/>
      <sheetName val="J-FC-2 OBC"/>
      <sheetName val="J-FC-9 OBC"/>
      <sheetName val="J-FC-3 OBC"/>
      <sheetName val="J-FC- 7.5"/>
      <sheetName val="J-FC- 6"/>
      <sheetName val="J-FC - 5 OBC"/>
      <sheetName val="J-FC - 5 BOM"/>
      <sheetName val="J-FC - 7 IDBI"/>
      <sheetName val="J-FC - 3.65 IDBI "/>
      <sheetName val="J-FC - 8.00 XX "/>
      <sheetName val="J-DEP"/>
      <sheetName val="J-IT"/>
      <sheetName val="J-DSCR"/>
      <sheetName val="J-CMA"/>
      <sheetName val="C-P&amp;L"/>
      <sheetName val="C-CF"/>
      <sheetName val="C- WC"/>
      <sheetName val="C- BS"/>
      <sheetName val="C-DSCR"/>
      <sheetName val="C-C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M Assump"/>
      <sheetName val="Dep"/>
      <sheetName val="IT"/>
      <sheetName val="Expenses"/>
      <sheetName val="P&amp;L"/>
      <sheetName val="WC"/>
      <sheetName val="BS"/>
      <sheetName val="CF"/>
      <sheetName val="CMA"/>
      <sheetName val="Company"/>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sheetName val="At Glance"/>
      <sheetName val="cop"/>
      <sheetName val="land"/>
      <sheetName val="Build"/>
      <sheetName val="P&amp;M"/>
      <sheetName val="MFA"/>
      <sheetName val="Cont."/>
      <sheetName val="PP"/>
      <sheetName val="Sales"/>
      <sheetName val="RM Assump"/>
      <sheetName val="Expenses"/>
      <sheetName val="Excise"/>
      <sheetName val="P&amp;L"/>
      <sheetName val="WC"/>
      <sheetName val="FC."/>
      <sheetName val="Dep."/>
      <sheetName val="CF"/>
      <sheetName val="BS"/>
      <sheetName val="DSCR"/>
      <sheetName val="IRR"/>
      <sheetName val="ROI"/>
      <sheetName val="BEP"/>
      <sheetName val="CMA"/>
      <sheetName val="Working"/>
      <sheetName val="IT"/>
      <sheetName val="Cont_"/>
      <sheetName val="Ne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2">
          <cell r="A2" t="str">
            <v>SCHEDULE - 17</v>
          </cell>
        </row>
        <row r="3">
          <cell r="A3" t="str">
            <v>CASH FLOW STATEMENT</v>
          </cell>
        </row>
        <row r="4">
          <cell r="H4" t="str">
            <v>(Rs. in Lakhs)</v>
          </cell>
        </row>
        <row r="5">
          <cell r="A5" t="str">
            <v>PARTICULARS</v>
          </cell>
          <cell r="B5" t="str">
            <v>06-07</v>
          </cell>
          <cell r="C5" t="str">
            <v>07-08</v>
          </cell>
          <cell r="D5" t="str">
            <v>08-09</v>
          </cell>
          <cell r="E5" t="str">
            <v>09-10</v>
          </cell>
          <cell r="F5" t="str">
            <v>10-11</v>
          </cell>
          <cell r="G5" t="str">
            <v>11-12</v>
          </cell>
          <cell r="H5" t="str">
            <v>12-13</v>
          </cell>
          <cell r="I5" t="str">
            <v>13-14</v>
          </cell>
        </row>
        <row r="7">
          <cell r="A7" t="str">
            <v>SOURCES OF FUNDS</v>
          </cell>
          <cell r="H7" t="str">
            <v/>
          </cell>
        </row>
        <row r="9">
          <cell r="A9" t="str">
            <v>Net Profit Before Tax,Dep.</v>
          </cell>
          <cell r="B9">
            <v>0</v>
          </cell>
          <cell r="C9">
            <v>739.99623000000065</v>
          </cell>
          <cell r="D9">
            <v>1339.9975799999993</v>
          </cell>
          <cell r="E9">
            <v>1230.0027200000004</v>
          </cell>
          <cell r="F9">
            <v>1320.0027200000004</v>
          </cell>
          <cell r="G9">
            <v>1310.0027200000004</v>
          </cell>
          <cell r="H9">
            <v>1300.0017200000002</v>
          </cell>
          <cell r="I9">
            <v>1289.996720000001</v>
          </cell>
        </row>
        <row r="10">
          <cell r="A10" t="str">
            <v>Increase in Share Capital</v>
          </cell>
          <cell r="B10">
            <v>439.9699999999998</v>
          </cell>
          <cell r="C10">
            <v>1000</v>
          </cell>
          <cell r="D10">
            <v>0</v>
          </cell>
          <cell r="E10">
            <v>0</v>
          </cell>
          <cell r="F10">
            <v>0</v>
          </cell>
          <cell r="G10">
            <v>0</v>
          </cell>
          <cell r="H10">
            <v>0</v>
          </cell>
          <cell r="I10">
            <v>0</v>
          </cell>
        </row>
        <row r="11">
          <cell r="A11" t="str">
            <v>Prel Exp. W/off</v>
          </cell>
          <cell r="B11">
            <v>0</v>
          </cell>
          <cell r="C11">
            <v>6.3940000000000001</v>
          </cell>
          <cell r="D11">
            <v>6.3940000000000001</v>
          </cell>
          <cell r="E11">
            <v>6.3940000000000001</v>
          </cell>
          <cell r="F11">
            <v>6.3940000000000001</v>
          </cell>
          <cell r="G11">
            <v>6.3940000000000001</v>
          </cell>
          <cell r="H11">
            <v>0</v>
          </cell>
          <cell r="I11">
            <v>0</v>
          </cell>
        </row>
        <row r="12">
          <cell r="A12" t="str">
            <v xml:space="preserve">Term Loan </v>
          </cell>
          <cell r="B12">
            <v>1000</v>
          </cell>
          <cell r="C12">
            <v>0</v>
          </cell>
          <cell r="D12">
            <v>0</v>
          </cell>
          <cell r="E12">
            <v>0</v>
          </cell>
          <cell r="F12">
            <v>0</v>
          </cell>
          <cell r="G12">
            <v>0</v>
          </cell>
          <cell r="H12">
            <v>0</v>
          </cell>
          <cell r="I12">
            <v>0</v>
          </cell>
        </row>
        <row r="13">
          <cell r="A13" t="str">
            <v>Working Capital Borrowings</v>
          </cell>
          <cell r="B13">
            <v>0</v>
          </cell>
          <cell r="C13">
            <v>1000</v>
          </cell>
          <cell r="D13">
            <v>0</v>
          </cell>
          <cell r="E13">
            <v>0</v>
          </cell>
          <cell r="F13">
            <v>0</v>
          </cell>
          <cell r="G13">
            <v>0</v>
          </cell>
          <cell r="H13">
            <v>0</v>
          </cell>
          <cell r="I13">
            <v>0</v>
          </cell>
        </row>
        <row r="14">
          <cell r="A14" t="str">
            <v>Increase in Current Liabilities</v>
          </cell>
          <cell r="B14">
            <v>0</v>
          </cell>
          <cell r="C14">
            <v>460</v>
          </cell>
          <cell r="D14">
            <v>250</v>
          </cell>
          <cell r="E14">
            <v>30</v>
          </cell>
          <cell r="F14">
            <v>-45</v>
          </cell>
          <cell r="G14">
            <v>-210</v>
          </cell>
          <cell r="H14">
            <v>0</v>
          </cell>
          <cell r="I14">
            <v>0</v>
          </cell>
        </row>
        <row r="15">
          <cell r="A15" t="str">
            <v>Total Funds Available</v>
          </cell>
          <cell r="B15">
            <v>1439.9699999999998</v>
          </cell>
          <cell r="C15">
            <v>3206.3902300000009</v>
          </cell>
          <cell r="D15">
            <v>1596.3915799999993</v>
          </cell>
          <cell r="E15">
            <v>1266.3967200000004</v>
          </cell>
          <cell r="F15">
            <v>1281.3967200000004</v>
          </cell>
          <cell r="G15">
            <v>1106.3967200000004</v>
          </cell>
          <cell r="H15">
            <v>1300.0017200000002</v>
          </cell>
          <cell r="I15">
            <v>1289.996720000001</v>
          </cell>
        </row>
        <row r="17">
          <cell r="A17" t="str">
            <v>APPLICATION OF FUNDS</v>
          </cell>
        </row>
        <row r="19">
          <cell r="A19" t="str">
            <v>Fixed Assets</v>
          </cell>
          <cell r="B19">
            <v>1000</v>
          </cell>
          <cell r="C19">
            <v>0</v>
          </cell>
          <cell r="D19">
            <v>0</v>
          </cell>
          <cell r="E19">
            <v>300</v>
          </cell>
          <cell r="F19">
            <v>360</v>
          </cell>
          <cell r="G19">
            <v>325</v>
          </cell>
          <cell r="H19">
            <v>325</v>
          </cell>
          <cell r="I19">
            <v>0</v>
          </cell>
        </row>
        <row r="20">
          <cell r="A20" t="str">
            <v>Pre-op Exp</v>
          </cell>
          <cell r="B20">
            <v>0</v>
          </cell>
          <cell r="C20">
            <v>0</v>
          </cell>
          <cell r="D20">
            <v>0</v>
          </cell>
          <cell r="E20">
            <v>0</v>
          </cell>
          <cell r="F20">
            <v>0</v>
          </cell>
          <cell r="G20">
            <v>0</v>
          </cell>
          <cell r="H20">
            <v>0</v>
          </cell>
          <cell r="I20">
            <v>0</v>
          </cell>
        </row>
        <row r="21">
          <cell r="A21" t="str">
            <v>Incre.In Current Assets</v>
          </cell>
          <cell r="B21">
            <v>0</v>
          </cell>
          <cell r="C21">
            <v>1973</v>
          </cell>
          <cell r="D21">
            <v>1068</v>
          </cell>
          <cell r="E21">
            <v>458</v>
          </cell>
          <cell r="F21">
            <v>313</v>
          </cell>
          <cell r="G21">
            <v>353</v>
          </cell>
          <cell r="H21">
            <v>0</v>
          </cell>
          <cell r="I21">
            <v>0</v>
          </cell>
        </row>
        <row r="22">
          <cell r="A22" t="str">
            <v>Repayment of Term Loan</v>
          </cell>
          <cell r="B22">
            <v>0</v>
          </cell>
          <cell r="C22">
            <v>0</v>
          </cell>
          <cell r="D22">
            <v>240</v>
          </cell>
          <cell r="E22">
            <v>240</v>
          </cell>
          <cell r="F22">
            <v>240</v>
          </cell>
          <cell r="G22">
            <v>240</v>
          </cell>
          <cell r="H22">
            <v>40</v>
          </cell>
          <cell r="I22">
            <v>0</v>
          </cell>
        </row>
        <row r="23">
          <cell r="A23" t="str">
            <v>Payment of Tax</v>
          </cell>
          <cell r="B23">
            <v>0</v>
          </cell>
          <cell r="C23">
            <v>0</v>
          </cell>
          <cell r="D23">
            <v>0</v>
          </cell>
          <cell r="E23">
            <v>275</v>
          </cell>
          <cell r="F23">
            <v>275</v>
          </cell>
          <cell r="G23">
            <v>375</v>
          </cell>
          <cell r="H23">
            <v>375</v>
          </cell>
          <cell r="I23">
            <v>375</v>
          </cell>
        </row>
        <row r="24">
          <cell r="A24" t="str">
            <v>Total Application of Funds</v>
          </cell>
          <cell r="B24">
            <v>1000</v>
          </cell>
          <cell r="C24">
            <v>1973</v>
          </cell>
          <cell r="D24">
            <v>1308</v>
          </cell>
          <cell r="E24">
            <v>1273</v>
          </cell>
          <cell r="F24">
            <v>1188</v>
          </cell>
          <cell r="G24">
            <v>1293</v>
          </cell>
          <cell r="H24">
            <v>740</v>
          </cell>
          <cell r="I24">
            <v>375</v>
          </cell>
        </row>
        <row r="25">
          <cell r="A25" t="str">
            <v>Opening Balance of Cash</v>
          </cell>
          <cell r="B25">
            <v>0</v>
          </cell>
          <cell r="C25">
            <v>439.9699999999998</v>
          </cell>
          <cell r="D25">
            <v>1673.3602300000007</v>
          </cell>
          <cell r="E25">
            <v>1961.75181</v>
          </cell>
          <cell r="F25">
            <v>1955.1485300000004</v>
          </cell>
          <cell r="G25">
            <v>2048.545250000001</v>
          </cell>
          <cell r="H25">
            <v>1861.9419700000014</v>
          </cell>
          <cell r="I25">
            <v>2421.9436900000019</v>
          </cell>
        </row>
        <row r="26">
          <cell r="A26" t="str">
            <v>Net Surplus/(-)Deficit</v>
          </cell>
          <cell r="B26">
            <v>439.9699999999998</v>
          </cell>
          <cell r="C26">
            <v>1233.3902300000009</v>
          </cell>
          <cell r="D26">
            <v>288.39157999999929</v>
          </cell>
          <cell r="E26">
            <v>-6.6032799999995859</v>
          </cell>
          <cell r="F26">
            <v>93.396720000000414</v>
          </cell>
          <cell r="G26">
            <v>-186.60327999999959</v>
          </cell>
          <cell r="H26">
            <v>560.0017200000002</v>
          </cell>
          <cell r="I26">
            <v>914.99672000000101</v>
          </cell>
        </row>
        <row r="27">
          <cell r="A27" t="str">
            <v>Closing Balance of Cash</v>
          </cell>
          <cell r="B27">
            <v>439.9699999999998</v>
          </cell>
          <cell r="C27">
            <v>1673.3602300000007</v>
          </cell>
          <cell r="D27">
            <v>1961.75181</v>
          </cell>
          <cell r="E27">
            <v>1955.1485300000004</v>
          </cell>
          <cell r="F27">
            <v>2048.545250000001</v>
          </cell>
          <cell r="G27">
            <v>1861.9419700000014</v>
          </cell>
          <cell r="H27">
            <v>2421.9436900000019</v>
          </cell>
          <cell r="I27">
            <v>3336.9404100000029</v>
          </cell>
        </row>
      </sheetData>
      <sheetData sheetId="18" refreshError="1"/>
      <sheetData sheetId="19" refreshError="1"/>
      <sheetData sheetId="20" refreshError="1"/>
      <sheetData sheetId="21" refreshError="1">
        <row r="2">
          <cell r="A2" t="str">
            <v>SCHEDULE - 21</v>
          </cell>
        </row>
        <row r="3">
          <cell r="A3" t="str">
            <v>RETURN ON INVESTMENT</v>
          </cell>
        </row>
        <row r="5">
          <cell r="A5" t="str">
            <v xml:space="preserve">    YEAR</v>
          </cell>
          <cell r="B5" t="str">
            <v>07-08</v>
          </cell>
          <cell r="C5" t="str">
            <v>08-09</v>
          </cell>
          <cell r="D5" t="str">
            <v>09-10</v>
          </cell>
          <cell r="E5" t="str">
            <v>10-11</v>
          </cell>
          <cell r="F5" t="str">
            <v>11-12</v>
          </cell>
          <cell r="G5" t="e">
            <v>#REF!</v>
          </cell>
          <cell r="H5" t="e">
            <v>#REF!</v>
          </cell>
        </row>
        <row r="7">
          <cell r="A7" t="str">
            <v>Profit Before Tax</v>
          </cell>
          <cell r="B7">
            <v>634.99623000000065</v>
          </cell>
          <cell r="C7">
            <v>1179.9975799999993</v>
          </cell>
          <cell r="D7">
            <v>1080.0027200000004</v>
          </cell>
          <cell r="E7">
            <v>1180.0027200000004</v>
          </cell>
          <cell r="F7">
            <v>1180.0027200000004</v>
          </cell>
          <cell r="G7">
            <v>1180.0017200000002</v>
          </cell>
          <cell r="H7">
            <v>1179.996720000001</v>
          </cell>
        </row>
        <row r="8">
          <cell r="A8" t="str">
            <v>Interest on Term Loan</v>
          </cell>
          <cell r="B8">
            <v>85</v>
          </cell>
          <cell r="C8">
            <v>75.65000000000002</v>
          </cell>
          <cell r="D8">
            <v>55.250000000000007</v>
          </cell>
          <cell r="E8">
            <v>34.85</v>
          </cell>
          <cell r="F8">
            <v>14.450000000000001</v>
          </cell>
          <cell r="G8">
            <v>0.42500000000000004</v>
          </cell>
          <cell r="H8">
            <v>0</v>
          </cell>
        </row>
        <row r="10">
          <cell r="A10" t="str">
            <v xml:space="preserve">    TOTAL</v>
          </cell>
          <cell r="B10">
            <v>719.99623000000065</v>
          </cell>
          <cell r="C10">
            <v>1255.6475799999994</v>
          </cell>
          <cell r="D10">
            <v>1135.2527200000004</v>
          </cell>
          <cell r="E10">
            <v>1214.8527200000003</v>
          </cell>
          <cell r="F10">
            <v>1194.4527200000005</v>
          </cell>
          <cell r="G10">
            <v>1180.4267200000002</v>
          </cell>
          <cell r="H10">
            <v>1179.996720000001</v>
          </cell>
        </row>
        <row r="12">
          <cell r="A12" t="str">
            <v>Total Profit of 7 Years</v>
          </cell>
          <cell r="C12">
            <v>7880.6254100000024</v>
          </cell>
        </row>
        <row r="13">
          <cell r="A13" t="str">
            <v>Total Years</v>
          </cell>
          <cell r="C13">
            <v>7</v>
          </cell>
        </row>
        <row r="14">
          <cell r="A14" t="str">
            <v>Average Rate of Return</v>
          </cell>
          <cell r="C14">
            <v>1125.8036300000003</v>
          </cell>
        </row>
        <row r="15">
          <cell r="A15" t="str">
            <v>Total Cost of Project</v>
          </cell>
          <cell r="C15" t="e">
            <v>#REF!</v>
          </cell>
        </row>
        <row r="16">
          <cell r="A16" t="str">
            <v xml:space="preserve">   ROI =</v>
          </cell>
          <cell r="C16" t="e">
            <v>#REF!</v>
          </cell>
        </row>
      </sheetData>
      <sheetData sheetId="22" refreshError="1">
        <row r="2">
          <cell r="A2" t="str">
            <v>BREAK-EVEN ANALYSIS IN THE 3rd YEAR OF OPERATION</v>
          </cell>
        </row>
        <row r="5">
          <cell r="A5" t="str">
            <v>(A)   TOTAL INCOME</v>
          </cell>
        </row>
        <row r="6">
          <cell r="A6" t="str">
            <v xml:space="preserve">        Sales &amp; Other Income</v>
          </cell>
        </row>
        <row r="7">
          <cell r="A7" t="str">
            <v xml:space="preserve">        Add: Change In Stock</v>
          </cell>
        </row>
        <row r="9">
          <cell r="A9" t="str">
            <v>(B)   VARIABLE EXPENSES</v>
          </cell>
        </row>
        <row r="11">
          <cell r="A11" t="str">
            <v xml:space="preserve">        Raw Material &amp; Consumables</v>
          </cell>
        </row>
        <row r="12">
          <cell r="A12" t="str">
            <v xml:space="preserve">        Wages </v>
          </cell>
        </row>
        <row r="13">
          <cell r="A13" t="str">
            <v xml:space="preserve">        Power And Fuel            </v>
          </cell>
        </row>
        <row r="14">
          <cell r="A14" t="str">
            <v xml:space="preserve">        Other Manuf. Expens 50%</v>
          </cell>
        </row>
        <row r="15">
          <cell r="A15" t="str">
            <v xml:space="preserve">        Repair and maintenance (20%)</v>
          </cell>
        </row>
        <row r="16">
          <cell r="A16" t="str">
            <v xml:space="preserve">        Selling  Expenses (50%)     </v>
          </cell>
        </row>
        <row r="17">
          <cell r="A17" t="str">
            <v xml:space="preserve">        W.C.Interest</v>
          </cell>
        </row>
        <row r="19">
          <cell r="A19" t="str">
            <v xml:space="preserve">      TOTAL VARIABLE EXPENSES             </v>
          </cell>
        </row>
        <row r="21">
          <cell r="A21" t="str">
            <v xml:space="preserve">      Contribution                 </v>
          </cell>
        </row>
        <row r="23">
          <cell r="A23" t="str">
            <v>(D)   FIXED COST</v>
          </cell>
        </row>
        <row r="25">
          <cell r="A25" t="str">
            <v xml:space="preserve">        Other Manuf. Expens 50%</v>
          </cell>
        </row>
        <row r="26">
          <cell r="A26" t="str">
            <v xml:space="preserve">        Administration Expenses</v>
          </cell>
        </row>
        <row r="27">
          <cell r="A27" t="str">
            <v xml:space="preserve">        Office Expenses</v>
          </cell>
        </row>
        <row r="28">
          <cell r="A28" t="str">
            <v xml:space="preserve">        Depreciation              </v>
          </cell>
        </row>
        <row r="29">
          <cell r="A29" t="str">
            <v xml:space="preserve">        Repairs &amp; Maintenance           </v>
          </cell>
        </row>
        <row r="30">
          <cell r="A30" t="str">
            <v xml:space="preserve">        Selling Expenses - 50%</v>
          </cell>
        </row>
        <row r="31">
          <cell r="A31" t="str">
            <v xml:space="preserve">        Interest On Term Loan    </v>
          </cell>
        </row>
        <row r="32">
          <cell r="A32" t="str">
            <v xml:space="preserve">        Prel &amp; Pre. Oper. W/off</v>
          </cell>
        </row>
        <row r="34">
          <cell r="A34" t="str">
            <v xml:space="preserve">      TOTAL FIXED EXPENSES                 </v>
          </cell>
        </row>
        <row r="36">
          <cell r="A36" t="str">
            <v>(E)   BREAK EVEN POINT</v>
          </cell>
        </row>
        <row r="37">
          <cell r="A37" t="str">
            <v xml:space="preserve">      Fixed Costx100/Total Cont           </v>
          </cell>
        </row>
        <row r="39">
          <cell r="A39" t="str">
            <v xml:space="preserve">     B.E.P. In Terms of                </v>
          </cell>
        </row>
        <row r="40">
          <cell r="A40" t="str">
            <v xml:space="preserve">      Installed Capacity</v>
          </cell>
        </row>
        <row r="41">
          <cell r="A41" t="str">
            <v xml:space="preserve">      Fix.CostxCap Uti/</v>
          </cell>
        </row>
        <row r="42">
          <cell r="A42" t="str">
            <v xml:space="preserve">      TOTAL CONT</v>
          </cell>
        </row>
        <row r="44">
          <cell r="A44" t="str">
            <v xml:space="preserve">      B.E.P. In Terms of           </v>
          </cell>
        </row>
        <row r="45">
          <cell r="A45" t="str">
            <v xml:space="preserve">      SALES REVENUE</v>
          </cell>
        </row>
      </sheetData>
      <sheetData sheetId="23" refreshError="1"/>
      <sheetData sheetId="24" refreshError="1"/>
      <sheetData sheetId="25" refreshError="1"/>
      <sheetData sheetId="26"/>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2)"/>
      <sheetName val="Rating (2)"/>
      <sheetName val="form"/>
      <sheetName val="CMA"/>
      <sheetName val="Rough"/>
      <sheetName val="Memorundum1"/>
      <sheetName val="Index"/>
      <sheetName val="Project Cost"/>
      <sheetName val="Land "/>
      <sheetName val=" Civil"/>
      <sheetName val="Plant"/>
      <sheetName val="Misc F.Assets (2)"/>
      <sheetName val="Pre-Op"/>
      <sheetName val="Cont Asset"/>
      <sheetName val="P &amp; L"/>
      <sheetName val="Balance Sheet"/>
      <sheetName val="BEP"/>
      <sheetName val="Cash Flow"/>
      <sheetName val="DSCR"/>
      <sheetName val="Pay Back, IRR"/>
      <sheetName val="IX. R.M. Cost"/>
      <sheetName val="IV. Working capital"/>
      <sheetName val="Dep(Comp)"/>
      <sheetName val="Dep(IT)"/>
      <sheetName val="Consumable"/>
      <sheetName val="Salary"/>
      <sheetName val="Power &amp; Fuel"/>
      <sheetName val="Term Loan "/>
      <sheetName val="SEnstive at a galance"/>
      <sheetName val="Tax"/>
      <sheetName val="Sensitive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
      <sheetName val="P&amp;L"/>
      <sheetName val="BS"/>
      <sheetName val="WC"/>
      <sheetName val="CF"/>
      <sheetName val="FC"/>
      <sheetName val="IT"/>
      <sheetName val="DEP"/>
      <sheetName val="BEP"/>
      <sheetName val="CMA"/>
      <sheetName val="summary"/>
      <sheetName val="P_L"/>
      <sheetName val="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HS 3"/>
      <sheetName val="HS 2"/>
      <sheetName val="HS 1"/>
      <sheetName val="CF 1"/>
      <sheetName val="CF 1 (2)"/>
      <sheetName val="CF 1 (3)"/>
      <sheetName val="CF 1 (4)"/>
      <sheetName val="CF 1 (5)"/>
      <sheetName val="CF 1 (6)"/>
      <sheetName val="CF 2"/>
      <sheetName val="CF 3"/>
      <sheetName val="CF 4"/>
      <sheetName val="COMPARATIVE"/>
      <sheetName val="CF 5"/>
      <sheetName val="CF 6"/>
      <sheetName val="CF 7"/>
      <sheetName val="CASH FLOW FOR MPRDC"/>
      <sheetName val="NHAI"/>
      <sheetName val="WPI"/>
      <sheetName val="renew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2">
          <cell r="M12">
            <v>0</v>
          </cell>
        </row>
        <row r="14">
          <cell r="M14">
            <v>0</v>
          </cell>
        </row>
      </sheetData>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sheetName val="Inc.Statment_inputs"/>
      <sheetName val="Bal_Sheet"/>
      <sheetName val="Intangadjst"/>
      <sheetName val="Adjst"/>
      <sheetName val="Nopatop"/>
      <sheetName val="Nopatfin"/>
      <sheetName val="Capop"/>
      <sheetName val="Capfin"/>
      <sheetName val="Capsbs"/>
      <sheetName val="nopatsbs"/>
      <sheetName val="Tax"/>
      <sheetName val="EVA"/>
      <sheetName val="EvaGraph"/>
      <sheetName val="MVA"/>
      <sheetName val="MvaGraph"/>
      <sheetName val="Sumperf"/>
      <sheetName val="SixP"/>
      <sheetName val="CostofCap"/>
      <sheetName val="Input"/>
      <sheetName val="b"/>
      <sheetName val="Assumptions"/>
    </sheetNames>
    <sheetDataSet>
      <sheetData sheetId="0" refreshError="1">
        <row r="16">
          <cell r="C16" t="str">
            <v xml:space="preserve"> SAMTEL</v>
          </cell>
          <cell r="J16" t="str">
            <v xml:space="preserve"> Rupees Lakhs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amp; Inputs"/>
      <sheetName val="EVA"/>
      <sheetName val="NOPAT"/>
      <sheetName val="Capital"/>
      <sheetName val="IS"/>
      <sheetName val="BS"/>
      <sheetName val="Amortisation"/>
      <sheetName val="Tax"/>
      <sheetName val="CWIP"/>
      <sheetName val="Excess Cash"/>
      <sheetName val="Checks _ Inputs"/>
      <sheetName val="wwww"/>
    </sheetNames>
    <sheetDataSet>
      <sheetData sheetId="0" refreshError="1"/>
      <sheetData sheetId="1" refreshError="1"/>
      <sheetData sheetId="2" refreshError="1"/>
      <sheetData sheetId="3" refreshError="1"/>
      <sheetData sheetId="4" refreshError="1"/>
      <sheetData sheetId="5" refreshError="1">
        <row r="2">
          <cell r="B2" t="str">
            <v>Total Capital Employed (per orig. source)</v>
          </cell>
          <cell r="D2">
            <v>0</v>
          </cell>
          <cell r="E2">
            <v>223261.8</v>
          </cell>
          <cell r="F2">
            <v>323914.79999999981</v>
          </cell>
          <cell r="G2">
            <v>1772153.1143923842</v>
          </cell>
          <cell r="H2">
            <v>4301967.1143923812</v>
          </cell>
          <cell r="I2">
            <v>0</v>
          </cell>
          <cell r="J2">
            <v>0</v>
          </cell>
          <cell r="K2">
            <v>0</v>
          </cell>
          <cell r="L2">
            <v>0</v>
          </cell>
          <cell r="M2">
            <v>0</v>
          </cell>
          <cell r="N2">
            <v>0</v>
          </cell>
          <cell r="O2">
            <v>0</v>
          </cell>
        </row>
        <row r="3">
          <cell r="B3" t="str">
            <v>Check</v>
          </cell>
          <cell r="D3">
            <v>0</v>
          </cell>
          <cell r="E3">
            <v>0</v>
          </cell>
          <cell r="F3">
            <v>0</v>
          </cell>
          <cell r="G3">
            <v>0</v>
          </cell>
          <cell r="H3">
            <v>0</v>
          </cell>
          <cell r="I3">
            <v>0</v>
          </cell>
          <cell r="J3">
            <v>0</v>
          </cell>
          <cell r="K3">
            <v>0</v>
          </cell>
          <cell r="L3">
            <v>0</v>
          </cell>
          <cell r="M3">
            <v>0</v>
          </cell>
          <cell r="N3">
            <v>0</v>
          </cell>
          <cell r="O3">
            <v>0</v>
          </cell>
        </row>
        <row r="7">
          <cell r="C7" t="str">
            <v>Cheque Account</v>
          </cell>
          <cell r="D7">
            <v>0</v>
          </cell>
          <cell r="E7">
            <v>34790</v>
          </cell>
          <cell r="F7">
            <v>359162.29389999982</v>
          </cell>
          <cell r="G7">
            <v>1675555.8898367397</v>
          </cell>
          <cell r="H7">
            <v>4617981.20617007</v>
          </cell>
          <cell r="I7">
            <v>0</v>
          </cell>
          <cell r="J7">
            <v>0</v>
          </cell>
          <cell r="K7">
            <v>0</v>
          </cell>
          <cell r="L7">
            <v>0</v>
          </cell>
          <cell r="M7">
            <v>0</v>
          </cell>
          <cell r="N7">
            <v>0</v>
          </cell>
          <cell r="O7">
            <v>0</v>
          </cell>
        </row>
        <row r="8">
          <cell r="C8" t="str">
            <v>Petty Cash</v>
          </cell>
          <cell r="D8">
            <v>0</v>
          </cell>
          <cell r="E8">
            <v>0</v>
          </cell>
          <cell r="F8">
            <v>0</v>
          </cell>
          <cell r="G8">
            <v>0</v>
          </cell>
          <cell r="H8">
            <v>0</v>
          </cell>
          <cell r="I8">
            <v>0</v>
          </cell>
          <cell r="J8">
            <v>0</v>
          </cell>
          <cell r="K8">
            <v>0</v>
          </cell>
          <cell r="L8">
            <v>0</v>
          </cell>
          <cell r="M8">
            <v>0</v>
          </cell>
          <cell r="N8">
            <v>0</v>
          </cell>
          <cell r="O8">
            <v>0</v>
          </cell>
        </row>
        <row r="9">
          <cell r="B9" t="str">
            <v>Cash &amp; Bank Balances</v>
          </cell>
          <cell r="D9">
            <v>0</v>
          </cell>
          <cell r="E9">
            <v>34790</v>
          </cell>
          <cell r="F9">
            <v>359162.29389999982</v>
          </cell>
          <cell r="G9">
            <v>1675555.8898367397</v>
          </cell>
          <cell r="H9">
            <v>4617981.20617007</v>
          </cell>
          <cell r="I9">
            <v>0</v>
          </cell>
          <cell r="J9">
            <v>0</v>
          </cell>
          <cell r="K9">
            <v>0</v>
          </cell>
          <cell r="L9">
            <v>0</v>
          </cell>
          <cell r="M9">
            <v>0</v>
          </cell>
          <cell r="N9">
            <v>0</v>
          </cell>
          <cell r="O9">
            <v>0</v>
          </cell>
        </row>
        <row r="11">
          <cell r="C11" t="str">
            <v>Trade Debtors</v>
          </cell>
          <cell r="D11">
            <v>0</v>
          </cell>
          <cell r="E11">
            <v>378050</v>
          </cell>
          <cell r="F11">
            <v>102981.9</v>
          </cell>
          <cell r="G11">
            <v>926224.91999999993</v>
          </cell>
          <cell r="H11">
            <v>1661645.7599999998</v>
          </cell>
          <cell r="I11">
            <v>0</v>
          </cell>
          <cell r="J11">
            <v>0</v>
          </cell>
          <cell r="K11">
            <v>0</v>
          </cell>
          <cell r="L11">
            <v>0</v>
          </cell>
          <cell r="M11">
            <v>0</v>
          </cell>
          <cell r="N11">
            <v>0</v>
          </cell>
          <cell r="O11">
            <v>0</v>
          </cell>
        </row>
        <row r="12">
          <cell r="C12" t="str">
            <v>Other Debtors &amp; Deposits</v>
          </cell>
          <cell r="D12">
            <v>0</v>
          </cell>
          <cell r="E12">
            <v>0</v>
          </cell>
          <cell r="F12">
            <v>0</v>
          </cell>
          <cell r="G12">
            <v>0</v>
          </cell>
          <cell r="H12">
            <v>0</v>
          </cell>
          <cell r="I12">
            <v>0</v>
          </cell>
          <cell r="J12">
            <v>0</v>
          </cell>
          <cell r="K12">
            <v>0</v>
          </cell>
          <cell r="L12">
            <v>0</v>
          </cell>
          <cell r="M12">
            <v>0</v>
          </cell>
          <cell r="N12">
            <v>0</v>
          </cell>
          <cell r="O12">
            <v>0</v>
          </cell>
        </row>
        <row r="13">
          <cell r="C13" t="str">
            <v>less Provision for Doubtful Debts</v>
          </cell>
          <cell r="D13">
            <v>0</v>
          </cell>
          <cell r="E13">
            <v>0</v>
          </cell>
          <cell r="F13">
            <v>0</v>
          </cell>
          <cell r="G13">
            <v>0</v>
          </cell>
          <cell r="H13">
            <v>0</v>
          </cell>
          <cell r="I13">
            <v>0</v>
          </cell>
          <cell r="J13">
            <v>0</v>
          </cell>
          <cell r="K13">
            <v>0</v>
          </cell>
          <cell r="L13">
            <v>0</v>
          </cell>
          <cell r="M13">
            <v>0</v>
          </cell>
          <cell r="N13">
            <v>0</v>
          </cell>
          <cell r="O13">
            <v>0</v>
          </cell>
        </row>
        <row r="16">
          <cell r="C16" t="str">
            <v>Stock</v>
          </cell>
          <cell r="D16">
            <v>0</v>
          </cell>
          <cell r="E16">
            <v>0</v>
          </cell>
          <cell r="F16">
            <v>305809.34352471604</v>
          </cell>
          <cell r="G16">
            <v>566773</v>
          </cell>
          <cell r="H16">
            <v>566773</v>
          </cell>
          <cell r="I16">
            <v>0</v>
          </cell>
          <cell r="J16">
            <v>0</v>
          </cell>
          <cell r="K16">
            <v>0</v>
          </cell>
          <cell r="L16">
            <v>0</v>
          </cell>
          <cell r="M16">
            <v>0</v>
          </cell>
          <cell r="N16">
            <v>0</v>
          </cell>
          <cell r="O16">
            <v>0</v>
          </cell>
        </row>
        <row r="17">
          <cell r="C17" t="str">
            <v>less Provision for Stock Obsolescence</v>
          </cell>
          <cell r="D17">
            <v>0</v>
          </cell>
          <cell r="E17">
            <v>0</v>
          </cell>
          <cell r="F17">
            <v>0</v>
          </cell>
          <cell r="G17">
            <v>0</v>
          </cell>
          <cell r="H17">
            <v>0</v>
          </cell>
          <cell r="I17">
            <v>0</v>
          </cell>
          <cell r="J17">
            <v>0</v>
          </cell>
          <cell r="K17">
            <v>0</v>
          </cell>
          <cell r="L17">
            <v>0</v>
          </cell>
          <cell r="M17">
            <v>0</v>
          </cell>
          <cell r="N17">
            <v>0</v>
          </cell>
          <cell r="O17">
            <v>0</v>
          </cell>
        </row>
        <row r="20">
          <cell r="B20" t="str">
            <v>Other Current Assets</v>
          </cell>
          <cell r="D20">
            <v>0</v>
          </cell>
          <cell r="E20">
            <v>0</v>
          </cell>
          <cell r="F20">
            <v>0</v>
          </cell>
          <cell r="G20">
            <v>0</v>
          </cell>
          <cell r="H20">
            <v>0</v>
          </cell>
          <cell r="I20">
            <v>0</v>
          </cell>
          <cell r="J20">
            <v>0</v>
          </cell>
          <cell r="K20">
            <v>0</v>
          </cell>
          <cell r="L20">
            <v>0</v>
          </cell>
          <cell r="M20">
            <v>0</v>
          </cell>
          <cell r="N20">
            <v>0</v>
          </cell>
          <cell r="O20">
            <v>0</v>
          </cell>
        </row>
        <row r="35">
          <cell r="B35" t="str">
            <v>Fixed Assets</v>
          </cell>
          <cell r="D35">
            <v>0</v>
          </cell>
          <cell r="E35">
            <v>0</v>
          </cell>
          <cell r="F35">
            <v>0</v>
          </cell>
          <cell r="G35">
            <v>0</v>
          </cell>
          <cell r="H35">
            <v>0</v>
          </cell>
          <cell r="I35">
            <v>0</v>
          </cell>
          <cell r="J35">
            <v>0</v>
          </cell>
          <cell r="K35">
            <v>0</v>
          </cell>
          <cell r="L35">
            <v>0</v>
          </cell>
          <cell r="M35">
            <v>0</v>
          </cell>
          <cell r="N35">
            <v>0</v>
          </cell>
          <cell r="O35">
            <v>0</v>
          </cell>
        </row>
        <row r="36">
          <cell r="B36" t="str">
            <v>Investments [Operating]</v>
          </cell>
          <cell r="D36">
            <v>0</v>
          </cell>
          <cell r="E36">
            <v>0</v>
          </cell>
          <cell r="F36">
            <v>0</v>
          </cell>
          <cell r="G36">
            <v>0</v>
          </cell>
          <cell r="H36">
            <v>0</v>
          </cell>
          <cell r="I36">
            <v>0</v>
          </cell>
          <cell r="J36">
            <v>0</v>
          </cell>
          <cell r="K36">
            <v>0</v>
          </cell>
          <cell r="L36">
            <v>0</v>
          </cell>
          <cell r="M36">
            <v>0</v>
          </cell>
          <cell r="N36">
            <v>0</v>
          </cell>
          <cell r="O36">
            <v>0</v>
          </cell>
        </row>
        <row r="37">
          <cell r="B37" t="str">
            <v>Investments [Non-Operating]</v>
          </cell>
          <cell r="D37">
            <v>0</v>
          </cell>
          <cell r="E37">
            <v>0</v>
          </cell>
          <cell r="F37">
            <v>0</v>
          </cell>
          <cell r="G37">
            <v>0</v>
          </cell>
          <cell r="H37">
            <v>0</v>
          </cell>
          <cell r="I37">
            <v>0</v>
          </cell>
          <cell r="J37">
            <v>0</v>
          </cell>
          <cell r="K37">
            <v>0</v>
          </cell>
          <cell r="L37">
            <v>0</v>
          </cell>
          <cell r="M37">
            <v>0</v>
          </cell>
          <cell r="N37">
            <v>0</v>
          </cell>
          <cell r="O37">
            <v>0</v>
          </cell>
        </row>
        <row r="55">
          <cell r="B55" t="str">
            <v>Cumulative Goodwill w/o</v>
          </cell>
          <cell r="D55">
            <v>0</v>
          </cell>
          <cell r="E55">
            <v>0</v>
          </cell>
          <cell r="F55">
            <v>0</v>
          </cell>
          <cell r="G55">
            <v>0</v>
          </cell>
          <cell r="H55">
            <v>0</v>
          </cell>
          <cell r="I55">
            <v>0</v>
          </cell>
          <cell r="J55">
            <v>0</v>
          </cell>
          <cell r="K55">
            <v>0</v>
          </cell>
          <cell r="L55">
            <v>0</v>
          </cell>
          <cell r="M55">
            <v>0</v>
          </cell>
          <cell r="N55">
            <v>0</v>
          </cell>
          <cell r="O55">
            <v>0</v>
          </cell>
        </row>
      </sheetData>
      <sheetData sheetId="6" refreshError="1"/>
      <sheetData sheetId="7" refreshError="1"/>
      <sheetData sheetId="8" refreshError="1"/>
      <sheetData sheetId="9" refreshError="1"/>
      <sheetData sheetId="10"/>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ding Requirement"/>
      <sheetName val="Project Cost &amp; Capital Expendit"/>
      <sheetName val="Production, Revenue &amp; Profit"/>
      <sheetName val="Utilities-1"/>
      <sheetName val="Human Resource"/>
      <sheetName val="Depreciation Chart - Comapnies"/>
      <sheetName val="Fresh Loan Repayment"/>
      <sheetName val="Project BS"/>
      <sheetName val="Project PL "/>
      <sheetName val="WC Assumptions - Project"/>
      <sheetName val="Project Ratio Analysis"/>
      <sheetName val="DSCR Break Even &amp; Sensitivity"/>
      <sheetName val="CFS"/>
      <sheetName val="CMA 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D6">
            <v>225</v>
          </cell>
        </row>
      </sheetData>
      <sheetData sheetId="8">
        <row r="9">
          <cell r="D9">
            <v>0</v>
          </cell>
        </row>
        <row r="14">
          <cell r="D14">
            <v>0</v>
          </cell>
        </row>
      </sheetData>
      <sheetData sheetId="9">
        <row r="16">
          <cell r="G16">
            <v>152.58375000000001</v>
          </cell>
        </row>
      </sheetData>
      <sheetData sheetId="10" refreshError="1"/>
      <sheetData sheetId="11" refreshError="1"/>
      <sheetData sheetId="12" refreshError="1"/>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Cost"/>
      <sheetName val="Project BS"/>
      <sheetName val="Project PL "/>
      <sheetName val="CMA Format"/>
      <sheetName val="WC Assumptions - Project"/>
      <sheetName val="CFS"/>
      <sheetName val="Production, Revenue &amp; Profit"/>
      <sheetName val="Utilities-1"/>
      <sheetName val="Human Resource"/>
      <sheetName val="Depreciation Chart - Comapnies"/>
      <sheetName val="UGECL"/>
      <sheetName val="Existing Term Loan"/>
      <sheetName val="Fresh Term Loan "/>
      <sheetName val="Project Ratio Analysis"/>
    </sheetNames>
    <sheetDataSet>
      <sheetData sheetId="0"/>
      <sheetData sheetId="1">
        <row r="19">
          <cell r="E19">
            <v>0</v>
          </cell>
          <cell r="G19">
            <v>0</v>
          </cell>
          <cell r="H19">
            <v>0</v>
          </cell>
          <cell r="I19">
            <v>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BS"/>
      <sheetName val="Project PL "/>
      <sheetName val="CMA Format"/>
      <sheetName val="Production, Revenue &amp; Profit"/>
      <sheetName val="Depreciation Chart - Comapnies"/>
      <sheetName val="Fresh Loan Repayment"/>
      <sheetName val="WC Assumptions - Project"/>
      <sheetName val="Project Ratio Analysis"/>
    </sheetNames>
    <sheetDataSet>
      <sheetData sheetId="0">
        <row r="6">
          <cell r="B6">
            <v>2</v>
          </cell>
        </row>
        <row r="17">
          <cell r="C17">
            <v>0</v>
          </cell>
          <cell r="D17">
            <v>0</v>
          </cell>
        </row>
      </sheetData>
      <sheetData sheetId="1">
        <row r="8">
          <cell r="B8">
            <v>0</v>
          </cell>
        </row>
      </sheetData>
      <sheetData sheetId="2"/>
      <sheetData sheetId="3" refreshError="1"/>
      <sheetData sheetId="4" refreshError="1"/>
      <sheetData sheetId="5" refreshError="1"/>
      <sheetData sheetId="6">
        <row r="15">
          <cell r="D15">
            <v>190.08</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2)"/>
      <sheetName val="E-IRR "/>
      <sheetName val="P-COP "/>
      <sheetName val="P-Assump"/>
      <sheetName val="P-P&amp;L"/>
      <sheetName val="P-FC"/>
      <sheetName val="P-IT"/>
      <sheetName val="P-CF"/>
      <sheetName val="P-BS"/>
      <sheetName val="P-dscr"/>
      <sheetName val="P-DEP"/>
      <sheetName val="P-BEP"/>
      <sheetName val="sch"/>
      <sheetName val="Assump"/>
      <sheetName val="WC"/>
      <sheetName val="P&amp;L"/>
      <sheetName val="FC "/>
      <sheetName val="DEP"/>
      <sheetName val="IT"/>
      <sheetName val="CF"/>
      <sheetName val="BS"/>
      <sheetName val="CMA"/>
      <sheetName val="Dscr"/>
      <sheetName val="BEP"/>
      <sheetName val="Operating ST"/>
      <sheetName val="CB Working"/>
      <sheetName val="CB 6+7"/>
      <sheetName val="CB MADHU-2"/>
      <sheetName val="CB-13"/>
      <sheetName val="CB Madhucon"/>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ure-IV"/>
      <sheetName val="Annexure - III"/>
      <sheetName val="Annexure - V"/>
      <sheetName val="Project Cost"/>
      <sheetName val="Land "/>
      <sheetName val="I. Civil"/>
      <sheetName val="Plant"/>
      <sheetName val="Misc F.Assets"/>
      <sheetName val="Pre-Op"/>
      <sheetName val="Cont Asset"/>
      <sheetName val="IV. Working capital"/>
      <sheetName val="Balance Sheet"/>
      <sheetName val="P &amp; L"/>
      <sheetName val="Cash Flow"/>
      <sheetName val="Cost of Generation"/>
      <sheetName val="DSCR"/>
      <sheetName val="Pay Back, IRR"/>
      <sheetName val="Dep(IT)"/>
      <sheetName val="IX. R.M. Cost"/>
      <sheetName val="Consumable"/>
      <sheetName val="Salary"/>
      <sheetName val="Power &amp; Fuel"/>
      <sheetName val="Term Loan"/>
      <sheetName val="Tax"/>
      <sheetName val="BEP"/>
      <sheetName val="Sensitive Analysis"/>
      <sheetName val="CMA with existing"/>
      <sheetName val="Index"/>
      <sheetName val="CMA (without)"/>
    </sheetNames>
    <sheetDataSet>
      <sheetData sheetId="0"/>
      <sheetData sheetId="1"/>
      <sheetData sheetId="2"/>
      <sheetData sheetId="3"/>
      <sheetData sheetId="4"/>
      <sheetData sheetId="5"/>
      <sheetData sheetId="6"/>
      <sheetData sheetId="7"/>
      <sheetData sheetId="8"/>
      <sheetData sheetId="9"/>
      <sheetData sheetId="10">
        <row r="11">
          <cell r="D11">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
      <sheetName val="FAR"/>
      <sheetName val="PC"/>
      <sheetName val="Capex"/>
      <sheetName val="Assum"/>
      <sheetName val="Debt"/>
      <sheetName val="WC"/>
      <sheetName val="Deprn"/>
      <sheetName val="Tax"/>
      <sheetName val="P&amp;L"/>
      <sheetName val="CF"/>
      <sheetName val="BS"/>
      <sheetName val="Ratios"/>
      <sheetName val="IRR"/>
    </sheetNames>
    <sheetDataSet>
      <sheetData sheetId="0">
        <row r="9">
          <cell r="F9">
            <v>1</v>
          </cell>
        </row>
        <row r="10">
          <cell r="F10">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00-01"/>
      <sheetName val="CMA"/>
      <sheetName val="SCD"/>
      <sheetName val="Sale"/>
      <sheetName val="RM"/>
      <sheetName val="Int"/>
      <sheetName val="Dep"/>
      <sheetName val="IT"/>
      <sheetName val="CA,CL"/>
      <sheetName val="Norms"/>
      <sheetName val="PBS-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
      <sheetName val="at glance"/>
      <sheetName val="COP"/>
      <sheetName val="land &amp; buil"/>
      <sheetName val="P&amp;M"/>
      <sheetName val="MFA"/>
      <sheetName val="Cont &amp; PP"/>
      <sheetName val="assump"/>
      <sheetName val="P&amp;L"/>
      <sheetName val="BS"/>
      <sheetName val="WC"/>
      <sheetName val="CF"/>
      <sheetName val="FC."/>
      <sheetName val="IT"/>
      <sheetName val="Dep"/>
      <sheetName val="BEP"/>
      <sheetName val="dscr"/>
      <sheetName val="IRR"/>
      <sheetName val="CMA"/>
      <sheetName val="sale"/>
      <sheetName val="RM Qty"/>
      <sheetName val="Raw mat"/>
      <sheetName val="valu. of FG"/>
      <sheetName val="0"/>
      <sheetName val="1"/>
      <sheetName val="2"/>
      <sheetName val="3"/>
      <sheetName val="4"/>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I15"/>
  <sheetViews>
    <sheetView showGridLines="0" tabSelected="1" view="pageBreakPreview" zoomScaleSheetLayoutView="100" workbookViewId="0">
      <selection activeCell="B9" sqref="B9"/>
    </sheetView>
  </sheetViews>
  <sheetFormatPr defaultColWidth="9.1796875" defaultRowHeight="14.5"/>
  <cols>
    <col min="1" max="1" width="57.1796875" customWidth="1"/>
    <col min="2" max="2" width="17.1796875" style="26" bestFit="1" customWidth="1"/>
    <col min="3" max="3" width="6.7265625" style="23" customWidth="1"/>
    <col min="4" max="4" width="14.7265625" style="23" customWidth="1"/>
    <col min="5" max="5" width="9.1796875" style="24"/>
    <col min="6" max="6" width="14.7265625" style="23" customWidth="1"/>
    <col min="8" max="8" width="10" bestFit="1" customWidth="1"/>
    <col min="9" max="9" width="15.1796875" customWidth="1"/>
    <col min="11" max="11" width="11.1796875" bestFit="1" customWidth="1"/>
  </cols>
  <sheetData>
    <row r="1" spans="1:9" ht="23">
      <c r="A1" s="563" t="s">
        <v>329</v>
      </c>
      <c r="B1" s="563"/>
    </row>
    <row r="2" spans="1:9" ht="18.5">
      <c r="A2" s="564" t="s">
        <v>330</v>
      </c>
      <c r="B2" s="564"/>
    </row>
    <row r="3" spans="1:9" ht="15.5">
      <c r="A3" s="25"/>
      <c r="B3" s="25"/>
    </row>
    <row r="4" spans="1:9" ht="23.5">
      <c r="A4" s="35" t="s">
        <v>187</v>
      </c>
      <c r="D4"/>
      <c r="F4"/>
    </row>
    <row r="5" spans="1:9">
      <c r="B5" s="27" t="s">
        <v>16</v>
      </c>
      <c r="C5" s="27"/>
      <c r="D5"/>
      <c r="F5"/>
    </row>
    <row r="6" spans="1:9" ht="20">
      <c r="A6" s="333" t="s">
        <v>63</v>
      </c>
      <c r="B6" s="333" t="s">
        <v>2</v>
      </c>
      <c r="C6" s="28" t="s">
        <v>17</v>
      </c>
      <c r="D6"/>
      <c r="F6"/>
    </row>
    <row r="7" spans="1:9">
      <c r="A7" s="29"/>
      <c r="B7" s="30"/>
      <c r="C7" s="28"/>
      <c r="D7"/>
      <c r="F7"/>
    </row>
    <row r="8" spans="1:9" ht="15.5">
      <c r="A8" s="81" t="s">
        <v>111</v>
      </c>
      <c r="B8" s="20">
        <v>120</v>
      </c>
      <c r="C8" s="28"/>
      <c r="D8" s="300"/>
      <c r="F8"/>
      <c r="I8" s="34"/>
    </row>
    <row r="9" spans="1:9" ht="15.5">
      <c r="A9" s="81" t="s">
        <v>112</v>
      </c>
      <c r="B9" s="20">
        <f>+B13-B8-B11-B10</f>
        <v>181.74935342133324</v>
      </c>
      <c r="C9" s="28"/>
      <c r="D9" s="300"/>
      <c r="F9"/>
      <c r="I9" s="34"/>
    </row>
    <row r="10" spans="1:9" ht="15.5">
      <c r="A10" s="81" t="s">
        <v>385</v>
      </c>
      <c r="B10" s="20">
        <v>80</v>
      </c>
      <c r="C10" s="28"/>
      <c r="D10" s="300"/>
      <c r="F10"/>
      <c r="I10" s="34"/>
    </row>
    <row r="11" spans="1:9" ht="15.5">
      <c r="A11" s="81" t="s">
        <v>18</v>
      </c>
      <c r="B11" s="20">
        <f>+'Bank Funding Margins'!I10</f>
        <v>650.00077226399992</v>
      </c>
      <c r="D11" s="300"/>
      <c r="F11"/>
      <c r="H11" s="227"/>
    </row>
    <row r="12" spans="1:9" ht="15.5">
      <c r="A12" s="29"/>
      <c r="B12" s="20"/>
      <c r="C12" s="31"/>
      <c r="D12"/>
      <c r="F12"/>
    </row>
    <row r="13" spans="1:9" ht="20">
      <c r="A13" s="333" t="s">
        <v>0</v>
      </c>
      <c r="B13" s="334">
        <f>+'Bank Funding Margins'!F10</f>
        <v>1031.7501256853332</v>
      </c>
      <c r="C13" s="32"/>
      <c r="D13" s="300"/>
      <c r="F13"/>
    </row>
    <row r="14" spans="1:9">
      <c r="D14" s="288"/>
    </row>
    <row r="15" spans="1:9">
      <c r="A15" s="33"/>
      <c r="B15" s="41"/>
    </row>
  </sheetData>
  <mergeCells count="2">
    <mergeCell ref="A1:B1"/>
    <mergeCell ref="A2:B2"/>
  </mergeCells>
  <printOptions horizontalCentered="1"/>
  <pageMargins left="0.7" right="0.7" top="0.75" bottom="0.75" header="0.3" footer="0.3"/>
  <pageSetup paperSize="9" orientation="landscape" r:id="rId1"/>
  <headerFooter>
    <oddHeader>&amp;C&amp;"Book Antiqua,Bold"&amp;13</oddHeader>
    <oddFooter>&amp;C&amp;"-,Bold"&amp;12Prepared by JNR Corporate Advisory Services Private Limited, Contact details: jnr4india@gmail.com, +918602267779, +918962611446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DC5A-3B0E-4D40-A8D7-A0775C656380}">
  <sheetPr>
    <tabColor rgb="FF92D050"/>
  </sheetPr>
  <dimension ref="A1:O171"/>
  <sheetViews>
    <sheetView showGridLines="0" view="pageBreakPreview" topLeftCell="A153" zoomScale="98" zoomScaleNormal="98" zoomScaleSheetLayoutView="98" zoomScalePageLayoutView="90" workbookViewId="0">
      <selection activeCell="G168" sqref="G168"/>
    </sheetView>
  </sheetViews>
  <sheetFormatPr defaultRowHeight="14.5"/>
  <cols>
    <col min="1" max="1" width="11.453125" customWidth="1"/>
    <col min="2" max="2" width="11.81640625" bestFit="1" customWidth="1"/>
    <col min="3" max="3" width="14.81640625" bestFit="1" customWidth="1"/>
    <col min="4" max="4" width="11.26953125" bestFit="1" customWidth="1"/>
    <col min="5" max="5" width="17.1796875" customWidth="1"/>
    <col min="6" max="6" width="15.453125" bestFit="1" customWidth="1"/>
    <col min="7" max="7" width="16.81640625" bestFit="1" customWidth="1"/>
    <col min="8" max="8" width="17" bestFit="1" customWidth="1"/>
  </cols>
  <sheetData>
    <row r="1" spans="1:15" ht="15.5">
      <c r="A1" s="1"/>
      <c r="B1" s="1"/>
      <c r="C1" s="1"/>
      <c r="D1" s="1"/>
      <c r="E1" s="1"/>
      <c r="F1" s="1"/>
      <c r="G1" s="1"/>
      <c r="H1" s="1"/>
    </row>
    <row r="2" spans="1:15" ht="17">
      <c r="A2" s="615" t="s">
        <v>361</v>
      </c>
      <c r="B2" s="616"/>
      <c r="C2" s="616"/>
      <c r="D2" s="616"/>
      <c r="E2" s="616"/>
      <c r="F2" s="616"/>
      <c r="G2" s="616"/>
      <c r="H2" s="617"/>
    </row>
    <row r="3" spans="1:15" ht="17">
      <c r="A3" s="7" t="s">
        <v>48</v>
      </c>
      <c r="B3" s="9"/>
      <c r="C3" s="9"/>
      <c r="D3" s="9"/>
      <c r="E3" s="9"/>
      <c r="F3" s="9"/>
      <c r="G3" s="9"/>
      <c r="H3" s="10" t="s">
        <v>31</v>
      </c>
    </row>
    <row r="4" spans="1:15" ht="17">
      <c r="A4" s="7" t="s">
        <v>52</v>
      </c>
      <c r="B4" s="9"/>
      <c r="C4" s="9"/>
      <c r="D4" s="9"/>
      <c r="E4" s="9"/>
      <c r="F4" s="9"/>
      <c r="G4" s="9"/>
      <c r="H4" s="10"/>
    </row>
    <row r="5" spans="1:15" ht="17">
      <c r="A5" s="7" t="s">
        <v>360</v>
      </c>
      <c r="B5" s="9"/>
      <c r="C5" s="9"/>
      <c r="D5" s="9"/>
      <c r="E5" s="9"/>
      <c r="F5" s="9"/>
      <c r="G5" s="9"/>
      <c r="H5" s="10"/>
    </row>
    <row r="6" spans="1:15" ht="17">
      <c r="A6" s="7" t="s">
        <v>140</v>
      </c>
      <c r="B6" s="9"/>
      <c r="C6" s="9"/>
      <c r="D6" s="9"/>
      <c r="E6" s="9"/>
      <c r="F6" s="9"/>
      <c r="G6" s="9"/>
      <c r="H6" s="10"/>
    </row>
    <row r="7" spans="1:15" ht="17">
      <c r="A7" s="7" t="s">
        <v>141</v>
      </c>
      <c r="B7" s="9"/>
      <c r="C7" s="9"/>
      <c r="D7" s="9"/>
      <c r="E7" s="9"/>
      <c r="F7" s="9"/>
      <c r="G7" s="9"/>
      <c r="H7" s="10"/>
      <c r="L7">
        <v>4200000</v>
      </c>
    </row>
    <row r="8" spans="1:15" ht="17">
      <c r="A8" s="7" t="s">
        <v>53</v>
      </c>
      <c r="B8" s="9"/>
      <c r="C8" s="9"/>
      <c r="D8" s="9"/>
      <c r="E8" s="9"/>
      <c r="F8" s="9"/>
      <c r="G8" s="9"/>
      <c r="H8" s="10"/>
      <c r="L8">
        <v>7200000</v>
      </c>
    </row>
    <row r="9" spans="1:15" ht="17">
      <c r="A9" s="7"/>
      <c r="B9" s="9"/>
      <c r="C9" s="9"/>
      <c r="D9" s="9"/>
      <c r="E9" s="9"/>
      <c r="F9" s="9"/>
      <c r="G9" s="9"/>
      <c r="H9" s="10"/>
      <c r="L9">
        <v>3000000</v>
      </c>
    </row>
    <row r="10" spans="1:15" ht="17">
      <c r="A10" s="7"/>
      <c r="B10" s="9"/>
      <c r="C10" s="9"/>
      <c r="D10" s="9" t="s">
        <v>54</v>
      </c>
      <c r="E10" s="9"/>
      <c r="F10" s="9"/>
      <c r="G10" s="9" t="s">
        <v>55</v>
      </c>
      <c r="H10" s="10" t="s">
        <v>0</v>
      </c>
      <c r="L10">
        <f>859524*7</f>
        <v>6016668</v>
      </c>
    </row>
    <row r="11" spans="1:15" ht="17">
      <c r="A11" s="7"/>
      <c r="B11" s="9"/>
      <c r="C11" s="94"/>
      <c r="D11" s="94"/>
      <c r="E11" s="94" t="s">
        <v>249</v>
      </c>
      <c r="F11" s="94"/>
      <c r="G11" s="95">
        <v>8</v>
      </c>
      <c r="H11" s="278">
        <f>+G11*24</f>
        <v>192</v>
      </c>
      <c r="L11">
        <f>859524*12</f>
        <v>10314288</v>
      </c>
    </row>
    <row r="12" spans="1:15" ht="17">
      <c r="A12" s="7"/>
      <c r="B12" s="9"/>
      <c r="C12" s="94"/>
      <c r="D12" s="94"/>
      <c r="E12" s="94" t="s">
        <v>733</v>
      </c>
      <c r="F12" s="94"/>
      <c r="G12" s="95">
        <v>11</v>
      </c>
      <c r="H12" s="95">
        <f>+G12*41</f>
        <v>451</v>
      </c>
      <c r="J12">
        <v>8.5952380952380949</v>
      </c>
      <c r="L12">
        <v>8595240</v>
      </c>
      <c r="O12">
        <v>9.5416666666666661</v>
      </c>
    </row>
    <row r="13" spans="1:15" ht="17">
      <c r="A13" s="7"/>
      <c r="B13" s="9"/>
      <c r="C13" s="94"/>
      <c r="D13" s="94"/>
      <c r="E13" s="94" t="s">
        <v>362</v>
      </c>
      <c r="F13" s="94"/>
      <c r="G13" s="95">
        <v>7</v>
      </c>
      <c r="H13" s="95">
        <f>+G13*1</f>
        <v>7</v>
      </c>
    </row>
    <row r="14" spans="1:15" ht="17">
      <c r="A14" s="7"/>
      <c r="B14" s="9"/>
      <c r="C14" s="94"/>
      <c r="D14" s="94"/>
      <c r="E14" s="96"/>
      <c r="F14" s="96"/>
      <c r="G14" s="96"/>
      <c r="H14" s="295">
        <f>+SUM(H11:H13)</f>
        <v>650</v>
      </c>
      <c r="J14">
        <f>+J12/42</f>
        <v>0.20464852607709749</v>
      </c>
      <c r="K14">
        <v>8.9523809523809526</v>
      </c>
      <c r="L14">
        <f>859524*12</f>
        <v>10314288</v>
      </c>
    </row>
    <row r="15" spans="1:15" ht="17">
      <c r="A15" s="7"/>
      <c r="B15" s="9"/>
      <c r="C15" s="9"/>
      <c r="D15" s="9"/>
      <c r="E15" s="9"/>
      <c r="F15" s="9"/>
      <c r="G15" s="9"/>
      <c r="H15" s="10"/>
    </row>
    <row r="16" spans="1:15" ht="15.5">
      <c r="A16" s="11"/>
      <c r="B16" s="1"/>
      <c r="C16" s="1"/>
      <c r="D16" s="12" t="s">
        <v>15</v>
      </c>
      <c r="E16" s="22">
        <v>0.1</v>
      </c>
      <c r="F16" s="1"/>
      <c r="G16" s="1"/>
      <c r="H16" s="8" t="s">
        <v>13</v>
      </c>
      <c r="L16">
        <f>+SUM(L7:L14)</f>
        <v>49640484</v>
      </c>
    </row>
    <row r="17" spans="1:12" ht="31">
      <c r="A17" s="348" t="s">
        <v>1</v>
      </c>
      <c r="B17" s="348" t="s">
        <v>9</v>
      </c>
      <c r="C17" s="348" t="s">
        <v>29</v>
      </c>
      <c r="D17" s="348" t="s">
        <v>8</v>
      </c>
      <c r="E17" s="348" t="s">
        <v>14</v>
      </c>
      <c r="F17" s="348" t="s">
        <v>10</v>
      </c>
      <c r="G17" s="348" t="s">
        <v>11</v>
      </c>
      <c r="H17" s="348" t="s">
        <v>12</v>
      </c>
      <c r="L17">
        <v>50500000</v>
      </c>
    </row>
    <row r="18" spans="1:12" ht="15.5">
      <c r="A18" s="14" t="s">
        <v>22</v>
      </c>
      <c r="B18" s="15"/>
      <c r="C18" s="15"/>
      <c r="D18" s="16"/>
      <c r="E18" s="16"/>
      <c r="F18" s="16"/>
      <c r="G18" s="16"/>
      <c r="H18" s="16"/>
      <c r="L18">
        <f>+L17-L16</f>
        <v>859516</v>
      </c>
    </row>
    <row r="19" spans="1:12" ht="15.5">
      <c r="A19" s="37">
        <v>43922</v>
      </c>
      <c r="B19" s="15">
        <v>0</v>
      </c>
      <c r="C19" s="15">
        <v>0</v>
      </c>
      <c r="D19" s="16">
        <f t="shared" ref="D19:D30" si="0">(+B19+C19)*$E$16/12</f>
        <v>0</v>
      </c>
      <c r="E19" s="16">
        <f t="shared" ref="E19:E30" si="1">+F19+G19</f>
        <v>0</v>
      </c>
      <c r="F19" s="16">
        <f t="shared" ref="F19:F30" si="2">+D19</f>
        <v>0</v>
      </c>
      <c r="G19" s="16">
        <v>0</v>
      </c>
      <c r="H19" s="16">
        <f>+B19-G19+C19</f>
        <v>0</v>
      </c>
    </row>
    <row r="20" spans="1:12" ht="15.5">
      <c r="A20" s="37">
        <v>43952</v>
      </c>
      <c r="B20" s="15">
        <f>+H19</f>
        <v>0</v>
      </c>
      <c r="C20" s="15">
        <v>0</v>
      </c>
      <c r="D20" s="16">
        <f t="shared" si="0"/>
        <v>0</v>
      </c>
      <c r="E20" s="16">
        <f t="shared" si="1"/>
        <v>0</v>
      </c>
      <c r="F20" s="16">
        <f t="shared" si="2"/>
        <v>0</v>
      </c>
      <c r="G20" s="16">
        <v>0</v>
      </c>
      <c r="H20" s="16">
        <f>+B20-G20+C20</f>
        <v>0</v>
      </c>
    </row>
    <row r="21" spans="1:12" ht="15.5">
      <c r="A21" s="37">
        <v>43983</v>
      </c>
      <c r="B21" s="15">
        <f t="shared" ref="B21:B30" si="3">+H20</f>
        <v>0</v>
      </c>
      <c r="C21" s="15">
        <v>0</v>
      </c>
      <c r="D21" s="16">
        <f t="shared" si="0"/>
        <v>0</v>
      </c>
      <c r="E21" s="16">
        <f t="shared" si="1"/>
        <v>0</v>
      </c>
      <c r="F21" s="16">
        <f t="shared" si="2"/>
        <v>0</v>
      </c>
      <c r="G21" s="16">
        <v>0</v>
      </c>
      <c r="H21" s="16">
        <f>+B21-G21+C21</f>
        <v>0</v>
      </c>
    </row>
    <row r="22" spans="1:12" ht="15.5">
      <c r="A22" s="37">
        <v>44013</v>
      </c>
      <c r="B22" s="15">
        <f t="shared" si="3"/>
        <v>0</v>
      </c>
      <c r="C22" s="15">
        <v>0</v>
      </c>
      <c r="D22" s="16">
        <f t="shared" si="0"/>
        <v>0</v>
      </c>
      <c r="E22" s="16">
        <f t="shared" si="1"/>
        <v>0</v>
      </c>
      <c r="F22" s="16">
        <f t="shared" si="2"/>
        <v>0</v>
      </c>
      <c r="G22" s="16">
        <v>0</v>
      </c>
      <c r="H22" s="16">
        <f>+B22-G22</f>
        <v>0</v>
      </c>
    </row>
    <row r="23" spans="1:12" ht="15.5">
      <c r="A23" s="37">
        <v>44044</v>
      </c>
      <c r="B23" s="15">
        <f t="shared" si="3"/>
        <v>0</v>
      </c>
      <c r="C23" s="15">
        <v>0</v>
      </c>
      <c r="D23" s="16">
        <f t="shared" si="0"/>
        <v>0</v>
      </c>
      <c r="E23" s="16">
        <f t="shared" si="1"/>
        <v>0</v>
      </c>
      <c r="F23" s="16">
        <f t="shared" si="2"/>
        <v>0</v>
      </c>
      <c r="G23" s="16">
        <f>+G$22</f>
        <v>0</v>
      </c>
      <c r="H23" s="16">
        <f>+B23-G23</f>
        <v>0</v>
      </c>
    </row>
    <row r="24" spans="1:12" ht="15.5">
      <c r="A24" s="37">
        <v>44075</v>
      </c>
      <c r="B24" s="15">
        <f t="shared" si="3"/>
        <v>0</v>
      </c>
      <c r="C24" s="15">
        <v>0</v>
      </c>
      <c r="D24" s="16">
        <f t="shared" si="0"/>
        <v>0</v>
      </c>
      <c r="E24" s="16">
        <f t="shared" si="1"/>
        <v>0</v>
      </c>
      <c r="F24" s="16">
        <f t="shared" si="2"/>
        <v>0</v>
      </c>
      <c r="G24" s="16">
        <f t="shared" ref="G24:G30" si="4">+G$22</f>
        <v>0</v>
      </c>
      <c r="H24" s="16">
        <f>+B24-G24</f>
        <v>0</v>
      </c>
    </row>
    <row r="25" spans="1:12" ht="15.5">
      <c r="A25" s="37">
        <v>44105</v>
      </c>
      <c r="B25" s="15">
        <f t="shared" si="3"/>
        <v>0</v>
      </c>
      <c r="C25" s="15">
        <v>0</v>
      </c>
      <c r="D25" s="16">
        <f t="shared" si="0"/>
        <v>0</v>
      </c>
      <c r="E25" s="16">
        <f t="shared" si="1"/>
        <v>0</v>
      </c>
      <c r="F25" s="16">
        <f t="shared" si="2"/>
        <v>0</v>
      </c>
      <c r="G25" s="16">
        <f t="shared" si="4"/>
        <v>0</v>
      </c>
      <c r="H25" s="16">
        <f>+B25-G25</f>
        <v>0</v>
      </c>
    </row>
    <row r="26" spans="1:12" ht="15.5">
      <c r="A26" s="37">
        <v>44136</v>
      </c>
      <c r="B26" s="15">
        <f t="shared" si="3"/>
        <v>0</v>
      </c>
      <c r="C26" s="15">
        <v>0</v>
      </c>
      <c r="D26" s="16">
        <f t="shared" si="0"/>
        <v>0</v>
      </c>
      <c r="E26" s="16">
        <f t="shared" si="1"/>
        <v>0</v>
      </c>
      <c r="F26" s="16">
        <f t="shared" si="2"/>
        <v>0</v>
      </c>
      <c r="G26" s="16">
        <f t="shared" si="4"/>
        <v>0</v>
      </c>
      <c r="H26" s="16">
        <f>+B26-G26</f>
        <v>0</v>
      </c>
    </row>
    <row r="27" spans="1:12" ht="15.5">
      <c r="A27" s="37">
        <v>44166</v>
      </c>
      <c r="B27" s="15">
        <f t="shared" si="3"/>
        <v>0</v>
      </c>
      <c r="C27" s="15">
        <v>0</v>
      </c>
      <c r="D27" s="16">
        <f t="shared" si="0"/>
        <v>0</v>
      </c>
      <c r="E27" s="16">
        <f t="shared" si="1"/>
        <v>0</v>
      </c>
      <c r="F27" s="16">
        <f t="shared" si="2"/>
        <v>0</v>
      </c>
      <c r="G27" s="16">
        <f t="shared" si="4"/>
        <v>0</v>
      </c>
      <c r="H27" s="16">
        <f>+B27+C27-G27</f>
        <v>0</v>
      </c>
    </row>
    <row r="28" spans="1:12" ht="15.5">
      <c r="A28" s="37">
        <v>44197</v>
      </c>
      <c r="B28" s="15">
        <f t="shared" si="3"/>
        <v>0</v>
      </c>
      <c r="C28" s="15">
        <v>0</v>
      </c>
      <c r="D28" s="16">
        <f t="shared" si="0"/>
        <v>0</v>
      </c>
      <c r="E28" s="16">
        <f t="shared" si="1"/>
        <v>0</v>
      </c>
      <c r="F28" s="16">
        <f t="shared" si="2"/>
        <v>0</v>
      </c>
      <c r="G28" s="16">
        <f t="shared" si="4"/>
        <v>0</v>
      </c>
      <c r="H28" s="16">
        <f>+B28+C28-G28</f>
        <v>0</v>
      </c>
    </row>
    <row r="29" spans="1:12" ht="15.5">
      <c r="A29" s="37">
        <v>44228</v>
      </c>
      <c r="B29" s="15">
        <f t="shared" si="3"/>
        <v>0</v>
      </c>
      <c r="C29" s="15">
        <v>0</v>
      </c>
      <c r="D29" s="16">
        <f t="shared" si="0"/>
        <v>0</v>
      </c>
      <c r="E29" s="16">
        <f t="shared" si="1"/>
        <v>0</v>
      </c>
      <c r="F29" s="16">
        <f t="shared" si="2"/>
        <v>0</v>
      </c>
      <c r="G29" s="16">
        <f t="shared" si="4"/>
        <v>0</v>
      </c>
      <c r="H29" s="16">
        <f>+B29+C29-G29</f>
        <v>0</v>
      </c>
    </row>
    <row r="30" spans="1:12" ht="15.5">
      <c r="A30" s="37">
        <v>44256</v>
      </c>
      <c r="B30" s="15">
        <f t="shared" si="3"/>
        <v>0</v>
      </c>
      <c r="C30" s="15">
        <v>0</v>
      </c>
      <c r="D30" s="16">
        <f t="shared" si="0"/>
        <v>0</v>
      </c>
      <c r="E30" s="16">
        <f t="shared" si="1"/>
        <v>0</v>
      </c>
      <c r="F30" s="16">
        <f t="shared" si="2"/>
        <v>0</v>
      </c>
      <c r="G30" s="16">
        <f t="shared" si="4"/>
        <v>0</v>
      </c>
      <c r="H30" s="16">
        <f>+B30+C30-G30</f>
        <v>0</v>
      </c>
    </row>
    <row r="31" spans="1:12" ht="15.5">
      <c r="A31" s="38"/>
      <c r="B31" s="39"/>
      <c r="C31" s="39"/>
      <c r="D31" s="40">
        <f>+SUM(D19:D30)</f>
        <v>0</v>
      </c>
      <c r="E31" s="40">
        <f>+SUM(E19:E30)</f>
        <v>0</v>
      </c>
      <c r="F31" s="40">
        <f>+SUM(F19:F30)</f>
        <v>0</v>
      </c>
      <c r="G31" s="40">
        <f>+SUM(G19:G30)</f>
        <v>0</v>
      </c>
      <c r="H31" s="40"/>
    </row>
    <row r="32" spans="1:12" ht="15.5">
      <c r="A32" s="14" t="s">
        <v>23</v>
      </c>
      <c r="B32" s="15"/>
      <c r="C32" s="15"/>
      <c r="D32" s="16"/>
      <c r="E32" s="16"/>
      <c r="F32" s="16"/>
      <c r="G32" s="16"/>
      <c r="H32" s="16"/>
    </row>
    <row r="33" spans="1:8" ht="15.5">
      <c r="A33" s="37">
        <v>44287</v>
      </c>
      <c r="B33" s="15">
        <f>+H30</f>
        <v>0</v>
      </c>
      <c r="C33" s="15">
        <v>0</v>
      </c>
      <c r="D33" s="16">
        <f t="shared" ref="D33:D44" si="5">(+B33+C33)*$E$16/12</f>
        <v>0</v>
      </c>
      <c r="E33" s="16">
        <f t="shared" ref="E33:E44" si="6">+F33+G33</f>
        <v>0</v>
      </c>
      <c r="F33" s="16">
        <f t="shared" ref="F33:F44" si="7">+D33</f>
        <v>0</v>
      </c>
      <c r="G33" s="16">
        <f t="shared" ref="G33:G41" si="8">+G$22</f>
        <v>0</v>
      </c>
      <c r="H33" s="16">
        <f t="shared" ref="H33:H44" si="9">+B33+C33-G33</f>
        <v>0</v>
      </c>
    </row>
    <row r="34" spans="1:8" ht="15.5">
      <c r="A34" s="37">
        <v>44317</v>
      </c>
      <c r="B34" s="15">
        <f t="shared" ref="B34:B58" si="10">+H33</f>
        <v>0</v>
      </c>
      <c r="C34" s="15">
        <v>0</v>
      </c>
      <c r="D34" s="16">
        <f t="shared" si="5"/>
        <v>0</v>
      </c>
      <c r="E34" s="16">
        <f t="shared" si="6"/>
        <v>0</v>
      </c>
      <c r="F34" s="16">
        <f t="shared" si="7"/>
        <v>0</v>
      </c>
      <c r="G34" s="16">
        <f t="shared" si="8"/>
        <v>0</v>
      </c>
      <c r="H34" s="16">
        <f t="shared" si="9"/>
        <v>0</v>
      </c>
    </row>
    <row r="35" spans="1:8" ht="15.5">
      <c r="A35" s="37">
        <v>44348</v>
      </c>
      <c r="B35" s="15">
        <f t="shared" si="10"/>
        <v>0</v>
      </c>
      <c r="C35" s="15">
        <v>0</v>
      </c>
      <c r="D35" s="16">
        <f t="shared" si="5"/>
        <v>0</v>
      </c>
      <c r="E35" s="16">
        <f t="shared" si="6"/>
        <v>0</v>
      </c>
      <c r="F35" s="16">
        <f t="shared" si="7"/>
        <v>0</v>
      </c>
      <c r="G35" s="16">
        <f t="shared" si="8"/>
        <v>0</v>
      </c>
      <c r="H35" s="16">
        <f t="shared" si="9"/>
        <v>0</v>
      </c>
    </row>
    <row r="36" spans="1:8" ht="15.5">
      <c r="A36" s="37">
        <v>44378</v>
      </c>
      <c r="B36" s="15">
        <f t="shared" si="10"/>
        <v>0</v>
      </c>
      <c r="C36" s="15">
        <v>0</v>
      </c>
      <c r="D36" s="16">
        <f t="shared" si="5"/>
        <v>0</v>
      </c>
      <c r="E36" s="16">
        <f t="shared" si="6"/>
        <v>0</v>
      </c>
      <c r="F36" s="16">
        <f t="shared" si="7"/>
        <v>0</v>
      </c>
      <c r="G36" s="16">
        <f t="shared" si="8"/>
        <v>0</v>
      </c>
      <c r="H36" s="16">
        <f t="shared" si="9"/>
        <v>0</v>
      </c>
    </row>
    <row r="37" spans="1:8" ht="15.5">
      <c r="A37" s="37">
        <v>44409</v>
      </c>
      <c r="B37" s="15">
        <f t="shared" si="10"/>
        <v>0</v>
      </c>
      <c r="C37" s="15">
        <v>0</v>
      </c>
      <c r="D37" s="16">
        <f t="shared" si="5"/>
        <v>0</v>
      </c>
      <c r="E37" s="16">
        <f t="shared" si="6"/>
        <v>0</v>
      </c>
      <c r="F37" s="16">
        <f t="shared" si="7"/>
        <v>0</v>
      </c>
      <c r="G37" s="16">
        <f t="shared" si="8"/>
        <v>0</v>
      </c>
      <c r="H37" s="16">
        <f t="shared" si="9"/>
        <v>0</v>
      </c>
    </row>
    <row r="38" spans="1:8" ht="15.5">
      <c r="A38" s="37">
        <v>44440</v>
      </c>
      <c r="B38" s="15">
        <f t="shared" si="10"/>
        <v>0</v>
      </c>
      <c r="C38" s="15">
        <v>0</v>
      </c>
      <c r="D38" s="16">
        <f t="shared" si="5"/>
        <v>0</v>
      </c>
      <c r="E38" s="16">
        <f t="shared" si="6"/>
        <v>0</v>
      </c>
      <c r="F38" s="16">
        <f t="shared" si="7"/>
        <v>0</v>
      </c>
      <c r="G38" s="16">
        <f t="shared" si="8"/>
        <v>0</v>
      </c>
      <c r="H38" s="16">
        <f t="shared" si="9"/>
        <v>0</v>
      </c>
    </row>
    <row r="39" spans="1:8" ht="15.5">
      <c r="A39" s="37">
        <v>44470</v>
      </c>
      <c r="B39" s="15">
        <f t="shared" si="10"/>
        <v>0</v>
      </c>
      <c r="C39" s="15">
        <v>0</v>
      </c>
      <c r="D39" s="16">
        <f t="shared" si="5"/>
        <v>0</v>
      </c>
      <c r="E39" s="16">
        <f t="shared" si="6"/>
        <v>0</v>
      </c>
      <c r="F39" s="16">
        <f t="shared" si="7"/>
        <v>0</v>
      </c>
      <c r="G39" s="16">
        <f t="shared" si="8"/>
        <v>0</v>
      </c>
      <c r="H39" s="16">
        <f t="shared" si="9"/>
        <v>0</v>
      </c>
    </row>
    <row r="40" spans="1:8" ht="15.5">
      <c r="A40" s="37">
        <v>44501</v>
      </c>
      <c r="B40" s="15">
        <f t="shared" si="10"/>
        <v>0</v>
      </c>
      <c r="C40" s="15">
        <v>0</v>
      </c>
      <c r="D40" s="16">
        <f t="shared" si="5"/>
        <v>0</v>
      </c>
      <c r="E40" s="16">
        <f t="shared" si="6"/>
        <v>0</v>
      </c>
      <c r="F40" s="16">
        <f t="shared" si="7"/>
        <v>0</v>
      </c>
      <c r="G40" s="16">
        <f t="shared" si="8"/>
        <v>0</v>
      </c>
      <c r="H40" s="16">
        <f t="shared" si="9"/>
        <v>0</v>
      </c>
    </row>
    <row r="41" spans="1:8" ht="15.5">
      <c r="A41" s="37">
        <v>44531</v>
      </c>
      <c r="B41" s="15">
        <f t="shared" si="10"/>
        <v>0</v>
      </c>
      <c r="C41" s="15">
        <v>0</v>
      </c>
      <c r="D41" s="16">
        <f t="shared" si="5"/>
        <v>0</v>
      </c>
      <c r="E41" s="16">
        <f t="shared" si="6"/>
        <v>0</v>
      </c>
      <c r="F41" s="16">
        <f t="shared" si="7"/>
        <v>0</v>
      </c>
      <c r="G41" s="16">
        <f t="shared" si="8"/>
        <v>0</v>
      </c>
      <c r="H41" s="16">
        <f t="shared" si="9"/>
        <v>0</v>
      </c>
    </row>
    <row r="42" spans="1:8" ht="15.5">
      <c r="A42" s="37">
        <v>44562</v>
      </c>
      <c r="B42" s="15">
        <f t="shared" si="10"/>
        <v>0</v>
      </c>
      <c r="C42" s="15">
        <v>0</v>
      </c>
      <c r="D42" s="16">
        <f t="shared" si="5"/>
        <v>0</v>
      </c>
      <c r="E42" s="16">
        <f t="shared" si="6"/>
        <v>0</v>
      </c>
      <c r="F42" s="16">
        <f t="shared" si="7"/>
        <v>0</v>
      </c>
      <c r="G42" s="16">
        <v>0</v>
      </c>
      <c r="H42" s="16">
        <f t="shared" si="9"/>
        <v>0</v>
      </c>
    </row>
    <row r="43" spans="1:8" ht="15.5">
      <c r="A43" s="37">
        <v>44593</v>
      </c>
      <c r="B43" s="15">
        <f t="shared" si="10"/>
        <v>0</v>
      </c>
      <c r="C43" s="15">
        <v>0</v>
      </c>
      <c r="D43" s="16">
        <f t="shared" si="5"/>
        <v>0</v>
      </c>
      <c r="E43" s="16">
        <f t="shared" si="6"/>
        <v>0</v>
      </c>
      <c r="F43" s="16">
        <f t="shared" si="7"/>
        <v>0</v>
      </c>
      <c r="G43" s="16">
        <v>0</v>
      </c>
      <c r="H43" s="16">
        <f t="shared" si="9"/>
        <v>0</v>
      </c>
    </row>
    <row r="44" spans="1:8" ht="15.5">
      <c r="A44" s="37">
        <v>44621</v>
      </c>
      <c r="B44" s="15">
        <f t="shared" si="10"/>
        <v>0</v>
      </c>
      <c r="C44" s="15">
        <v>0</v>
      </c>
      <c r="D44" s="16">
        <f t="shared" si="5"/>
        <v>0</v>
      </c>
      <c r="E44" s="16">
        <f t="shared" si="6"/>
        <v>0</v>
      </c>
      <c r="F44" s="16">
        <f t="shared" si="7"/>
        <v>0</v>
      </c>
      <c r="G44" s="16">
        <v>0</v>
      </c>
      <c r="H44" s="16">
        <f t="shared" si="9"/>
        <v>0</v>
      </c>
    </row>
    <row r="45" spans="1:8" ht="15.5">
      <c r="A45" s="38"/>
      <c r="B45" s="39"/>
      <c r="C45" s="39"/>
      <c r="D45" s="40">
        <f>+SUM(D33:D44)</f>
        <v>0</v>
      </c>
      <c r="E45" s="40">
        <f>+SUM(E33:E44)</f>
        <v>0</v>
      </c>
      <c r="F45" s="40">
        <f>+SUM(F33:F44)</f>
        <v>0</v>
      </c>
      <c r="G45" s="40">
        <f>+SUM(G33:G44)</f>
        <v>0</v>
      </c>
      <c r="H45" s="40"/>
    </row>
    <row r="46" spans="1:8" ht="15.5">
      <c r="A46" s="14" t="s">
        <v>24</v>
      </c>
      <c r="B46" s="15"/>
      <c r="C46" s="15"/>
      <c r="D46" s="16"/>
      <c r="E46" s="16"/>
      <c r="F46" s="16"/>
      <c r="G46" s="16"/>
      <c r="H46" s="16"/>
    </row>
    <row r="47" spans="1:8" ht="15.5">
      <c r="A47" s="37">
        <v>44652</v>
      </c>
      <c r="B47" s="15">
        <f>+H44</f>
        <v>0</v>
      </c>
      <c r="C47" s="15">
        <v>0</v>
      </c>
      <c r="D47" s="16">
        <f t="shared" ref="D47:D58" si="11">(+B47+C47)*$E$16/12</f>
        <v>0</v>
      </c>
      <c r="E47" s="16">
        <f t="shared" ref="E47:E58" si="12">+F47+G47</f>
        <v>0</v>
      </c>
      <c r="F47" s="16">
        <f t="shared" ref="F47:F58" si="13">+D47</f>
        <v>0</v>
      </c>
      <c r="G47" s="16">
        <v>0</v>
      </c>
      <c r="H47" s="16">
        <f t="shared" ref="H47:H58" si="14">+B47+C47-G47</f>
        <v>0</v>
      </c>
    </row>
    <row r="48" spans="1:8" ht="15.5">
      <c r="A48" s="37">
        <v>44682</v>
      </c>
      <c r="B48" s="15">
        <f t="shared" si="10"/>
        <v>0</v>
      </c>
      <c r="C48" s="15">
        <v>0</v>
      </c>
      <c r="D48" s="16">
        <f t="shared" si="11"/>
        <v>0</v>
      </c>
      <c r="E48" s="16">
        <f t="shared" si="12"/>
        <v>0</v>
      </c>
      <c r="F48" s="16">
        <f t="shared" si="13"/>
        <v>0</v>
      </c>
      <c r="G48" s="16">
        <v>0</v>
      </c>
      <c r="H48" s="16">
        <f t="shared" si="14"/>
        <v>0</v>
      </c>
    </row>
    <row r="49" spans="1:8" ht="15.5">
      <c r="A49" s="37">
        <v>44713</v>
      </c>
      <c r="B49" s="15">
        <f t="shared" si="10"/>
        <v>0</v>
      </c>
      <c r="C49" s="15">
        <v>0</v>
      </c>
      <c r="D49" s="16">
        <f t="shared" si="11"/>
        <v>0</v>
      </c>
      <c r="E49" s="16">
        <f t="shared" si="12"/>
        <v>0</v>
      </c>
      <c r="F49" s="16">
        <f t="shared" si="13"/>
        <v>0</v>
      </c>
      <c r="G49" s="16">
        <v>0</v>
      </c>
      <c r="H49" s="16">
        <f t="shared" si="14"/>
        <v>0</v>
      </c>
    </row>
    <row r="50" spans="1:8" ht="15.5">
      <c r="A50" s="37">
        <v>44743</v>
      </c>
      <c r="B50" s="15">
        <f t="shared" si="10"/>
        <v>0</v>
      </c>
      <c r="C50" s="15">
        <v>0</v>
      </c>
      <c r="D50" s="16">
        <f t="shared" si="11"/>
        <v>0</v>
      </c>
      <c r="E50" s="16">
        <f t="shared" si="12"/>
        <v>0</v>
      </c>
      <c r="F50" s="16">
        <f t="shared" si="13"/>
        <v>0</v>
      </c>
      <c r="G50" s="16">
        <v>0</v>
      </c>
      <c r="H50" s="16">
        <f t="shared" si="14"/>
        <v>0</v>
      </c>
    </row>
    <row r="51" spans="1:8" ht="15.5">
      <c r="A51" s="37">
        <v>44774</v>
      </c>
      <c r="B51" s="15">
        <f t="shared" si="10"/>
        <v>0</v>
      </c>
      <c r="C51" s="15">
        <v>0</v>
      </c>
      <c r="D51" s="16">
        <f t="shared" si="11"/>
        <v>0</v>
      </c>
      <c r="E51" s="16">
        <f t="shared" si="12"/>
        <v>0</v>
      </c>
      <c r="F51" s="16">
        <f t="shared" si="13"/>
        <v>0</v>
      </c>
      <c r="G51" s="16">
        <v>0</v>
      </c>
      <c r="H51" s="16">
        <f t="shared" si="14"/>
        <v>0</v>
      </c>
    </row>
    <row r="52" spans="1:8" ht="15.5">
      <c r="A52" s="37">
        <v>44805</v>
      </c>
      <c r="B52" s="15">
        <f t="shared" si="10"/>
        <v>0</v>
      </c>
      <c r="C52" s="15">
        <v>0</v>
      </c>
      <c r="D52" s="16">
        <f t="shared" si="11"/>
        <v>0</v>
      </c>
      <c r="E52" s="16">
        <f t="shared" si="12"/>
        <v>0</v>
      </c>
      <c r="F52" s="16">
        <f t="shared" si="13"/>
        <v>0</v>
      </c>
      <c r="G52" s="16">
        <v>0</v>
      </c>
      <c r="H52" s="16">
        <f t="shared" si="14"/>
        <v>0</v>
      </c>
    </row>
    <row r="53" spans="1:8" ht="15.5">
      <c r="A53" s="37">
        <v>44835</v>
      </c>
      <c r="B53" s="15">
        <f t="shared" si="10"/>
        <v>0</v>
      </c>
      <c r="C53" s="15">
        <v>0</v>
      </c>
      <c r="D53" s="16">
        <f t="shared" si="11"/>
        <v>0</v>
      </c>
      <c r="E53" s="16">
        <f t="shared" si="12"/>
        <v>0</v>
      </c>
      <c r="F53" s="16">
        <f t="shared" si="13"/>
        <v>0</v>
      </c>
      <c r="G53" s="16">
        <v>0</v>
      </c>
      <c r="H53" s="16">
        <f t="shared" si="14"/>
        <v>0</v>
      </c>
    </row>
    <row r="54" spans="1:8" ht="15.5">
      <c r="A54" s="37">
        <v>44866</v>
      </c>
      <c r="B54" s="15">
        <f t="shared" si="10"/>
        <v>0</v>
      </c>
      <c r="C54" s="15">
        <v>0</v>
      </c>
      <c r="D54" s="16">
        <f t="shared" si="11"/>
        <v>0</v>
      </c>
      <c r="E54" s="16">
        <f t="shared" si="12"/>
        <v>0</v>
      </c>
      <c r="F54" s="16">
        <f t="shared" si="13"/>
        <v>0</v>
      </c>
      <c r="G54" s="16">
        <v>0</v>
      </c>
      <c r="H54" s="16">
        <f t="shared" si="14"/>
        <v>0</v>
      </c>
    </row>
    <row r="55" spans="1:8" ht="15.5">
      <c r="A55" s="37">
        <v>44896</v>
      </c>
      <c r="B55" s="15">
        <f t="shared" si="10"/>
        <v>0</v>
      </c>
      <c r="C55" s="15">
        <v>0</v>
      </c>
      <c r="D55" s="16">
        <f t="shared" si="11"/>
        <v>0</v>
      </c>
      <c r="E55" s="16">
        <f t="shared" si="12"/>
        <v>0</v>
      </c>
      <c r="F55" s="16">
        <f t="shared" si="13"/>
        <v>0</v>
      </c>
      <c r="G55" s="16">
        <v>0</v>
      </c>
      <c r="H55" s="16">
        <f t="shared" si="14"/>
        <v>0</v>
      </c>
    </row>
    <row r="56" spans="1:8" ht="15.5">
      <c r="A56" s="37">
        <v>44927</v>
      </c>
      <c r="B56" s="15">
        <f t="shared" si="10"/>
        <v>0</v>
      </c>
      <c r="C56" s="15">
        <v>0</v>
      </c>
      <c r="D56" s="16">
        <f t="shared" si="11"/>
        <v>0</v>
      </c>
      <c r="E56" s="16">
        <f t="shared" si="12"/>
        <v>0</v>
      </c>
      <c r="F56" s="16">
        <f t="shared" si="13"/>
        <v>0</v>
      </c>
      <c r="G56" s="16">
        <v>0</v>
      </c>
      <c r="H56" s="16">
        <f t="shared" si="14"/>
        <v>0</v>
      </c>
    </row>
    <row r="57" spans="1:8" ht="15.5">
      <c r="A57" s="37">
        <v>44958</v>
      </c>
      <c r="B57" s="15">
        <f t="shared" si="10"/>
        <v>0</v>
      </c>
      <c r="C57" s="15">
        <v>0</v>
      </c>
      <c r="D57" s="16">
        <f t="shared" si="11"/>
        <v>0</v>
      </c>
      <c r="E57" s="16">
        <f t="shared" si="12"/>
        <v>0</v>
      </c>
      <c r="F57" s="16">
        <f t="shared" si="13"/>
        <v>0</v>
      </c>
      <c r="G57" s="16">
        <v>0</v>
      </c>
      <c r="H57" s="16">
        <f t="shared" si="14"/>
        <v>0</v>
      </c>
    </row>
    <row r="58" spans="1:8" ht="15.5">
      <c r="A58" s="37">
        <v>44986</v>
      </c>
      <c r="B58" s="15">
        <f t="shared" si="10"/>
        <v>0</v>
      </c>
      <c r="C58" s="15">
        <v>0</v>
      </c>
      <c r="D58" s="16">
        <f t="shared" si="11"/>
        <v>0</v>
      </c>
      <c r="E58" s="16">
        <f t="shared" si="12"/>
        <v>0</v>
      </c>
      <c r="F58" s="16">
        <f t="shared" si="13"/>
        <v>0</v>
      </c>
      <c r="G58" s="16">
        <v>0</v>
      </c>
      <c r="H58" s="16">
        <f t="shared" si="14"/>
        <v>0</v>
      </c>
    </row>
    <row r="59" spans="1:8" ht="15.5">
      <c r="A59" s="38"/>
      <c r="B59" s="39"/>
      <c r="C59" s="39"/>
      <c r="D59" s="40">
        <f>SUM(D47:D58)</f>
        <v>0</v>
      </c>
      <c r="E59" s="40">
        <f>+SUM(E47:E58)</f>
        <v>0</v>
      </c>
      <c r="F59" s="40">
        <f>+SUM(F47:F58)</f>
        <v>0</v>
      </c>
      <c r="G59" s="40">
        <f>+SUM(G47:G58)</f>
        <v>0</v>
      </c>
      <c r="H59" s="40"/>
    </row>
    <row r="60" spans="1:8" ht="15.5">
      <c r="A60" s="14" t="s">
        <v>25</v>
      </c>
      <c r="B60" s="15"/>
      <c r="C60" s="15"/>
      <c r="D60" s="16"/>
      <c r="E60" s="16"/>
      <c r="F60" s="16"/>
      <c r="G60" s="16"/>
      <c r="H60" s="16"/>
    </row>
    <row r="61" spans="1:8" ht="15.5">
      <c r="A61" s="37">
        <v>45017</v>
      </c>
      <c r="B61" s="15">
        <f>+H58</f>
        <v>0</v>
      </c>
      <c r="C61" s="15">
        <v>0</v>
      </c>
      <c r="D61" s="16">
        <f t="shared" ref="D61:D72" si="15">(+B61+C61)*$E$16/12</f>
        <v>0</v>
      </c>
      <c r="E61" s="16">
        <f t="shared" ref="E61:E72" si="16">+F61+G61</f>
        <v>0</v>
      </c>
      <c r="F61" s="16">
        <f>+D61</f>
        <v>0</v>
      </c>
      <c r="G61" s="16">
        <v>0</v>
      </c>
      <c r="H61" s="16">
        <f t="shared" ref="H61:H72" si="17">+B61+C61-G61</f>
        <v>0</v>
      </c>
    </row>
    <row r="62" spans="1:8" ht="15.5">
      <c r="A62" s="37">
        <v>45047</v>
      </c>
      <c r="B62" s="15">
        <f>+H61</f>
        <v>0</v>
      </c>
      <c r="C62" s="15">
        <v>0</v>
      </c>
      <c r="D62" s="16">
        <f t="shared" si="15"/>
        <v>0</v>
      </c>
      <c r="E62" s="16">
        <f t="shared" si="16"/>
        <v>0</v>
      </c>
      <c r="F62" s="16">
        <f>+D62</f>
        <v>0</v>
      </c>
      <c r="G62" s="16">
        <v>0</v>
      </c>
      <c r="H62" s="16">
        <f t="shared" si="17"/>
        <v>0</v>
      </c>
    </row>
    <row r="63" spans="1:8" ht="15.5">
      <c r="A63" s="37">
        <v>45078</v>
      </c>
      <c r="B63" s="15">
        <f t="shared" ref="B63:B72" si="18">+H62</f>
        <v>0</v>
      </c>
      <c r="C63" s="15">
        <v>0</v>
      </c>
      <c r="D63" s="16">
        <f t="shared" si="15"/>
        <v>0</v>
      </c>
      <c r="E63" s="16">
        <f t="shared" si="16"/>
        <v>0</v>
      </c>
      <c r="F63" s="16">
        <f t="shared" ref="F63:F72" si="19">+D63</f>
        <v>0</v>
      </c>
      <c r="G63" s="16">
        <v>0</v>
      </c>
      <c r="H63" s="16">
        <f t="shared" si="17"/>
        <v>0</v>
      </c>
    </row>
    <row r="64" spans="1:8" ht="15.5">
      <c r="A64" s="37">
        <v>45108</v>
      </c>
      <c r="B64" s="15">
        <f t="shared" si="18"/>
        <v>0</v>
      </c>
      <c r="C64" s="15">
        <v>0</v>
      </c>
      <c r="D64" s="16">
        <f t="shared" si="15"/>
        <v>0</v>
      </c>
      <c r="E64" s="16">
        <f t="shared" si="16"/>
        <v>0</v>
      </c>
      <c r="F64" s="16">
        <f t="shared" si="19"/>
        <v>0</v>
      </c>
      <c r="G64" s="16">
        <v>0</v>
      </c>
      <c r="H64" s="16">
        <f t="shared" si="17"/>
        <v>0</v>
      </c>
    </row>
    <row r="65" spans="1:8" ht="15.5">
      <c r="A65" s="37">
        <v>45139</v>
      </c>
      <c r="B65" s="15">
        <f t="shared" si="18"/>
        <v>0</v>
      </c>
      <c r="C65" s="15">
        <v>0</v>
      </c>
      <c r="D65" s="16">
        <f t="shared" si="15"/>
        <v>0</v>
      </c>
      <c r="E65" s="16">
        <f t="shared" si="16"/>
        <v>0</v>
      </c>
      <c r="F65" s="16">
        <f t="shared" si="19"/>
        <v>0</v>
      </c>
      <c r="G65" s="16">
        <v>0</v>
      </c>
      <c r="H65" s="16">
        <f t="shared" si="17"/>
        <v>0</v>
      </c>
    </row>
    <row r="66" spans="1:8" ht="15.5">
      <c r="A66" s="37">
        <v>45170</v>
      </c>
      <c r="B66" s="15">
        <f t="shared" si="18"/>
        <v>0</v>
      </c>
      <c r="C66" s="15">
        <v>25</v>
      </c>
      <c r="D66" s="16">
        <f t="shared" si="15"/>
        <v>0.20833333333333334</v>
      </c>
      <c r="E66" s="16">
        <f t="shared" si="16"/>
        <v>0.20833333333333334</v>
      </c>
      <c r="F66" s="16">
        <f t="shared" si="19"/>
        <v>0.20833333333333334</v>
      </c>
      <c r="G66" s="16">
        <v>0</v>
      </c>
      <c r="H66" s="16">
        <f t="shared" si="17"/>
        <v>25</v>
      </c>
    </row>
    <row r="67" spans="1:8" ht="15.5">
      <c r="A67" s="37">
        <v>45200</v>
      </c>
      <c r="B67" s="15">
        <f t="shared" si="18"/>
        <v>25</v>
      </c>
      <c r="C67" s="15">
        <v>25</v>
      </c>
      <c r="D67" s="16">
        <f t="shared" si="15"/>
        <v>0.41666666666666669</v>
      </c>
      <c r="E67" s="16">
        <f t="shared" si="16"/>
        <v>0.41666666666666669</v>
      </c>
      <c r="F67" s="16">
        <f t="shared" si="19"/>
        <v>0.41666666666666669</v>
      </c>
      <c r="G67" s="16">
        <v>0</v>
      </c>
      <c r="H67" s="16">
        <f t="shared" si="17"/>
        <v>50</v>
      </c>
    </row>
    <row r="68" spans="1:8" ht="15.5">
      <c r="A68" s="37">
        <v>45231</v>
      </c>
      <c r="B68" s="15">
        <f t="shared" si="18"/>
        <v>50</v>
      </c>
      <c r="C68" s="15">
        <v>25</v>
      </c>
      <c r="D68" s="16">
        <f t="shared" si="15"/>
        <v>0.625</v>
      </c>
      <c r="E68" s="16">
        <f t="shared" si="16"/>
        <v>0.625</v>
      </c>
      <c r="F68" s="16">
        <f t="shared" si="19"/>
        <v>0.625</v>
      </c>
      <c r="G68" s="16">
        <v>0</v>
      </c>
      <c r="H68" s="16">
        <f t="shared" si="17"/>
        <v>75</v>
      </c>
    </row>
    <row r="69" spans="1:8" ht="15.5">
      <c r="A69" s="37">
        <v>45261</v>
      </c>
      <c r="B69" s="15">
        <f t="shared" si="18"/>
        <v>75</v>
      </c>
      <c r="C69" s="15">
        <v>25</v>
      </c>
      <c r="D69" s="16">
        <f t="shared" si="15"/>
        <v>0.83333333333333337</v>
      </c>
      <c r="E69" s="16">
        <f t="shared" si="16"/>
        <v>0.83333333333333337</v>
      </c>
      <c r="F69" s="16">
        <f t="shared" si="19"/>
        <v>0.83333333333333337</v>
      </c>
      <c r="G69" s="16">
        <v>0</v>
      </c>
      <c r="H69" s="16">
        <f t="shared" si="17"/>
        <v>100</v>
      </c>
    </row>
    <row r="70" spans="1:8" ht="15.5">
      <c r="A70" s="37">
        <v>45292</v>
      </c>
      <c r="B70" s="15">
        <f t="shared" si="18"/>
        <v>100</v>
      </c>
      <c r="C70" s="15">
        <v>25</v>
      </c>
      <c r="D70" s="16">
        <f t="shared" si="15"/>
        <v>1.0416666666666667</v>
      </c>
      <c r="E70" s="16">
        <f t="shared" si="16"/>
        <v>1.0416666666666667</v>
      </c>
      <c r="F70" s="16">
        <f t="shared" si="19"/>
        <v>1.0416666666666667</v>
      </c>
      <c r="G70" s="16">
        <v>0</v>
      </c>
      <c r="H70" s="16">
        <f t="shared" si="17"/>
        <v>125</v>
      </c>
    </row>
    <row r="71" spans="1:8" ht="15.5">
      <c r="A71" s="37">
        <v>45323</v>
      </c>
      <c r="B71" s="15">
        <f t="shared" si="18"/>
        <v>125</v>
      </c>
      <c r="C71" s="15">
        <v>25</v>
      </c>
      <c r="D71" s="16">
        <f t="shared" si="15"/>
        <v>1.25</v>
      </c>
      <c r="E71" s="16">
        <f t="shared" si="16"/>
        <v>1.25</v>
      </c>
      <c r="F71" s="16">
        <f t="shared" si="19"/>
        <v>1.25</v>
      </c>
      <c r="G71" s="16">
        <v>0</v>
      </c>
      <c r="H71" s="16">
        <f t="shared" si="17"/>
        <v>150</v>
      </c>
    </row>
    <row r="72" spans="1:8" ht="15.5">
      <c r="A72" s="37">
        <v>45352</v>
      </c>
      <c r="B72" s="15">
        <f t="shared" si="18"/>
        <v>150</v>
      </c>
      <c r="C72" s="15">
        <v>25</v>
      </c>
      <c r="D72" s="16">
        <f t="shared" si="15"/>
        <v>1.4583333333333333</v>
      </c>
      <c r="E72" s="16">
        <f t="shared" si="16"/>
        <v>1.4583333333333333</v>
      </c>
      <c r="F72" s="16">
        <f t="shared" si="19"/>
        <v>1.4583333333333333</v>
      </c>
      <c r="G72" s="16">
        <v>0</v>
      </c>
      <c r="H72" s="16">
        <f t="shared" si="17"/>
        <v>175</v>
      </c>
    </row>
    <row r="73" spans="1:8" ht="15.5">
      <c r="A73" s="38"/>
      <c r="B73" s="39"/>
      <c r="C73" s="39"/>
      <c r="D73" s="40">
        <f>SUM(D61:D72)</f>
        <v>5.833333333333333</v>
      </c>
      <c r="E73" s="40">
        <f>SUM(E61:E72)</f>
        <v>5.833333333333333</v>
      </c>
      <c r="F73" s="40">
        <f>SUM(F61:F72)</f>
        <v>5.833333333333333</v>
      </c>
      <c r="G73" s="40">
        <f>SUM(G61:G72)</f>
        <v>0</v>
      </c>
      <c r="H73" s="40"/>
    </row>
    <row r="74" spans="1:8" ht="15.5">
      <c r="A74" s="14" t="s">
        <v>26</v>
      </c>
      <c r="B74" s="15"/>
      <c r="C74" s="15"/>
      <c r="D74" s="16"/>
      <c r="E74" s="16"/>
      <c r="F74" s="16"/>
      <c r="G74" s="16"/>
      <c r="H74" s="16"/>
    </row>
    <row r="75" spans="1:8" ht="15.5">
      <c r="A75" s="37">
        <v>45383</v>
      </c>
      <c r="B75" s="15">
        <f>+H72</f>
        <v>175</v>
      </c>
      <c r="C75" s="15">
        <v>50</v>
      </c>
      <c r="D75" s="16">
        <f>(+B75+C75)*$E$16/12</f>
        <v>1.875</v>
      </c>
      <c r="E75" s="16">
        <f t="shared" ref="E75:E86" si="20">+F75+G75</f>
        <v>1.875</v>
      </c>
      <c r="F75" s="16">
        <f>+D75</f>
        <v>1.875</v>
      </c>
      <c r="G75" s="16">
        <v>0</v>
      </c>
      <c r="H75" s="16">
        <f t="shared" ref="H75:H86" si="21">+B75+C75-G75</f>
        <v>225</v>
      </c>
    </row>
    <row r="76" spans="1:8" ht="15.5">
      <c r="A76" s="37">
        <v>45413</v>
      </c>
      <c r="B76" s="15">
        <f>+H75</f>
        <v>225</v>
      </c>
      <c r="C76" s="15">
        <v>100</v>
      </c>
      <c r="D76" s="16">
        <f>(+B76+C76)*$E$16/12</f>
        <v>2.7083333333333335</v>
      </c>
      <c r="E76" s="16">
        <f t="shared" si="20"/>
        <v>2.7083333333333335</v>
      </c>
      <c r="F76" s="16">
        <f>+D76</f>
        <v>2.7083333333333335</v>
      </c>
      <c r="G76" s="16">
        <v>0</v>
      </c>
      <c r="H76" s="16">
        <f t="shared" si="21"/>
        <v>325</v>
      </c>
    </row>
    <row r="77" spans="1:8" ht="15.5">
      <c r="A77" s="37">
        <v>45444</v>
      </c>
      <c r="B77" s="15">
        <f t="shared" ref="B77:B85" si="22">+H76</f>
        <v>325</v>
      </c>
      <c r="C77" s="15">
        <v>100</v>
      </c>
      <c r="D77" s="16">
        <f t="shared" ref="D77:D86" si="23">(+B77+C77)*$E$16/12</f>
        <v>3.5416666666666665</v>
      </c>
      <c r="E77" s="16">
        <f t="shared" si="20"/>
        <v>3.5416666666666665</v>
      </c>
      <c r="F77" s="16">
        <f t="shared" ref="F77:F86" si="24">+D77</f>
        <v>3.5416666666666665</v>
      </c>
      <c r="G77" s="16">
        <v>0</v>
      </c>
      <c r="H77" s="16">
        <f t="shared" si="21"/>
        <v>425</v>
      </c>
    </row>
    <row r="78" spans="1:8" ht="15.5">
      <c r="A78" s="37">
        <v>45474</v>
      </c>
      <c r="B78" s="15">
        <f t="shared" si="22"/>
        <v>425</v>
      </c>
      <c r="C78" s="15">
        <v>100</v>
      </c>
      <c r="D78" s="16">
        <f t="shared" si="23"/>
        <v>4.375</v>
      </c>
      <c r="E78" s="16">
        <f t="shared" si="20"/>
        <v>4.375</v>
      </c>
      <c r="F78" s="16">
        <f t="shared" si="24"/>
        <v>4.375</v>
      </c>
      <c r="G78" s="16">
        <v>0</v>
      </c>
      <c r="H78" s="16">
        <f t="shared" si="21"/>
        <v>525</v>
      </c>
    </row>
    <row r="79" spans="1:8" ht="15.5">
      <c r="A79" s="37">
        <v>45505</v>
      </c>
      <c r="B79" s="15">
        <f t="shared" si="22"/>
        <v>525</v>
      </c>
      <c r="C79" s="15">
        <v>100</v>
      </c>
      <c r="D79" s="16">
        <f t="shared" si="23"/>
        <v>5.208333333333333</v>
      </c>
      <c r="E79" s="16">
        <f t="shared" si="20"/>
        <v>5.208333333333333</v>
      </c>
      <c r="F79" s="16">
        <f t="shared" si="24"/>
        <v>5.208333333333333</v>
      </c>
      <c r="G79" s="16">
        <v>0</v>
      </c>
      <c r="H79" s="16">
        <f t="shared" si="21"/>
        <v>625</v>
      </c>
    </row>
    <row r="80" spans="1:8" ht="15.5">
      <c r="A80" s="37">
        <v>45536</v>
      </c>
      <c r="B80" s="15">
        <f t="shared" si="22"/>
        <v>625</v>
      </c>
      <c r="C80" s="15">
        <v>25</v>
      </c>
      <c r="D80" s="16">
        <f t="shared" si="23"/>
        <v>5.416666666666667</v>
      </c>
      <c r="E80" s="16">
        <f t="shared" si="20"/>
        <v>5.416666666666667</v>
      </c>
      <c r="F80" s="16">
        <f t="shared" si="24"/>
        <v>5.416666666666667</v>
      </c>
      <c r="G80" s="16">
        <v>0</v>
      </c>
      <c r="H80" s="16">
        <f t="shared" si="21"/>
        <v>650</v>
      </c>
    </row>
    <row r="81" spans="1:8" ht="15.5">
      <c r="A81" s="37">
        <v>45566</v>
      </c>
      <c r="B81" s="15">
        <f t="shared" si="22"/>
        <v>650</v>
      </c>
      <c r="C81" s="15">
        <v>0</v>
      </c>
      <c r="D81" s="16">
        <f t="shared" si="23"/>
        <v>5.416666666666667</v>
      </c>
      <c r="E81" s="16">
        <f t="shared" si="20"/>
        <v>5.416666666666667</v>
      </c>
      <c r="F81" s="16">
        <f t="shared" si="24"/>
        <v>5.416666666666667</v>
      </c>
      <c r="G81" s="16">
        <v>0</v>
      </c>
      <c r="H81" s="16">
        <f t="shared" si="21"/>
        <v>650</v>
      </c>
    </row>
    <row r="82" spans="1:8" ht="15.5">
      <c r="A82" s="37">
        <v>45597</v>
      </c>
      <c r="B82" s="15">
        <f t="shared" si="22"/>
        <v>650</v>
      </c>
      <c r="C82" s="15">
        <v>0</v>
      </c>
      <c r="D82" s="16">
        <f t="shared" si="23"/>
        <v>5.416666666666667</v>
      </c>
      <c r="E82" s="16">
        <f t="shared" si="20"/>
        <v>5.416666666666667</v>
      </c>
      <c r="F82" s="16">
        <f t="shared" si="24"/>
        <v>5.416666666666667</v>
      </c>
      <c r="G82" s="16">
        <v>0</v>
      </c>
      <c r="H82" s="16">
        <f t="shared" si="21"/>
        <v>650</v>
      </c>
    </row>
    <row r="83" spans="1:8" ht="15.5">
      <c r="A83" s="37">
        <v>45627</v>
      </c>
      <c r="B83" s="15">
        <f t="shared" si="22"/>
        <v>650</v>
      </c>
      <c r="C83" s="15">
        <v>0</v>
      </c>
      <c r="D83" s="16">
        <f t="shared" si="23"/>
        <v>5.416666666666667</v>
      </c>
      <c r="E83" s="16">
        <f t="shared" si="20"/>
        <v>5.416666666666667</v>
      </c>
      <c r="F83" s="16">
        <f t="shared" si="24"/>
        <v>5.416666666666667</v>
      </c>
      <c r="G83" s="16">
        <v>0</v>
      </c>
      <c r="H83" s="16">
        <f t="shared" si="21"/>
        <v>650</v>
      </c>
    </row>
    <row r="84" spans="1:8" ht="15.5">
      <c r="A84" s="37">
        <v>45658</v>
      </c>
      <c r="B84" s="15">
        <f t="shared" si="22"/>
        <v>650</v>
      </c>
      <c r="C84" s="15">
        <v>0</v>
      </c>
      <c r="D84" s="16">
        <f t="shared" si="23"/>
        <v>5.416666666666667</v>
      </c>
      <c r="E84" s="16">
        <f t="shared" si="20"/>
        <v>5.416666666666667</v>
      </c>
      <c r="F84" s="16">
        <f t="shared" si="24"/>
        <v>5.416666666666667</v>
      </c>
      <c r="G84" s="16">
        <v>0</v>
      </c>
      <c r="H84" s="16">
        <f t="shared" si="21"/>
        <v>650</v>
      </c>
    </row>
    <row r="85" spans="1:8" ht="15.5">
      <c r="A85" s="37">
        <v>45689</v>
      </c>
      <c r="B85" s="15">
        <f t="shared" si="22"/>
        <v>650</v>
      </c>
      <c r="C85" s="15">
        <v>0</v>
      </c>
      <c r="D85" s="16">
        <f t="shared" si="23"/>
        <v>5.416666666666667</v>
      </c>
      <c r="E85" s="16">
        <f t="shared" si="20"/>
        <v>5.416666666666667</v>
      </c>
      <c r="F85" s="16">
        <f t="shared" si="24"/>
        <v>5.416666666666667</v>
      </c>
      <c r="G85" s="16">
        <v>0</v>
      </c>
      <c r="H85" s="16">
        <f t="shared" si="21"/>
        <v>650</v>
      </c>
    </row>
    <row r="86" spans="1:8" ht="15.5">
      <c r="A86" s="37">
        <v>45717</v>
      </c>
      <c r="B86" s="15">
        <f>+H85</f>
        <v>650</v>
      </c>
      <c r="C86" s="15">
        <v>0</v>
      </c>
      <c r="D86" s="16">
        <f t="shared" si="23"/>
        <v>5.416666666666667</v>
      </c>
      <c r="E86" s="16">
        <f t="shared" si="20"/>
        <v>5.416666666666667</v>
      </c>
      <c r="F86" s="16">
        <f t="shared" si="24"/>
        <v>5.416666666666667</v>
      </c>
      <c r="G86" s="16">
        <v>0</v>
      </c>
      <c r="H86" s="16">
        <f t="shared" si="21"/>
        <v>650</v>
      </c>
    </row>
    <row r="87" spans="1:8" ht="15.5">
      <c r="A87" s="38"/>
      <c r="B87" s="39"/>
      <c r="C87" s="39"/>
      <c r="D87" s="40">
        <f>SUM(D75:D86)</f>
        <v>55.624999999999993</v>
      </c>
      <c r="E87" s="40">
        <f>SUM(E75:E86)</f>
        <v>55.624999999999993</v>
      </c>
      <c r="F87" s="40">
        <f>SUM(F75:F86)</f>
        <v>55.624999999999993</v>
      </c>
      <c r="G87" s="40">
        <f>SUM(G75:G86)</f>
        <v>0</v>
      </c>
      <c r="H87" s="40"/>
    </row>
    <row r="88" spans="1:8" ht="15.5">
      <c r="A88" s="14" t="s">
        <v>49</v>
      </c>
      <c r="B88" s="15"/>
      <c r="C88" s="15"/>
      <c r="D88" s="16"/>
      <c r="E88" s="16"/>
      <c r="F88" s="16"/>
      <c r="G88" s="16"/>
      <c r="H88" s="16"/>
    </row>
    <row r="89" spans="1:8" ht="15.5">
      <c r="A89" s="37">
        <v>45748</v>
      </c>
      <c r="B89" s="15">
        <f>+H86</f>
        <v>650</v>
      </c>
      <c r="C89" s="15">
        <v>0</v>
      </c>
      <c r="D89" s="16">
        <f>(+B89+C89)*$E$16/12</f>
        <v>5.416666666666667</v>
      </c>
      <c r="E89" s="16">
        <f t="shared" ref="E89:E100" si="25">+F89+G89</f>
        <v>13.416666666666668</v>
      </c>
      <c r="F89" s="16">
        <f>+D89</f>
        <v>5.416666666666667</v>
      </c>
      <c r="G89" s="16">
        <f t="shared" ref="G89:G100" si="26">+$G$11</f>
        <v>8</v>
      </c>
      <c r="H89" s="16">
        <f t="shared" ref="H89:H100" si="27">+B89+C89-G89</f>
        <v>642</v>
      </c>
    </row>
    <row r="90" spans="1:8" ht="15.5">
      <c r="A90" s="37">
        <v>45778</v>
      </c>
      <c r="B90" s="15">
        <f>+H89</f>
        <v>642</v>
      </c>
      <c r="C90" s="15">
        <v>0</v>
      </c>
      <c r="D90" s="16">
        <f>(+B90+C90)*$E$16/12</f>
        <v>5.3500000000000005</v>
      </c>
      <c r="E90" s="16">
        <f t="shared" si="25"/>
        <v>13.350000000000001</v>
      </c>
      <c r="F90" s="16">
        <f>+D90</f>
        <v>5.3500000000000005</v>
      </c>
      <c r="G90" s="16">
        <f t="shared" si="26"/>
        <v>8</v>
      </c>
      <c r="H90" s="16">
        <f t="shared" si="27"/>
        <v>634</v>
      </c>
    </row>
    <row r="91" spans="1:8" ht="15.5">
      <c r="A91" s="37">
        <v>45809</v>
      </c>
      <c r="B91" s="15">
        <f t="shared" ref="B91:B99" si="28">+H90</f>
        <v>634</v>
      </c>
      <c r="C91" s="15">
        <v>0</v>
      </c>
      <c r="D91" s="16">
        <f t="shared" ref="D91:D100" si="29">(+B91+C91)*$E$16/12</f>
        <v>5.2833333333333341</v>
      </c>
      <c r="E91" s="16">
        <f t="shared" si="25"/>
        <v>13.283333333333335</v>
      </c>
      <c r="F91" s="16">
        <f t="shared" ref="F91:F100" si="30">+D91</f>
        <v>5.2833333333333341</v>
      </c>
      <c r="G91" s="16">
        <f t="shared" si="26"/>
        <v>8</v>
      </c>
      <c r="H91" s="16">
        <f t="shared" si="27"/>
        <v>626</v>
      </c>
    </row>
    <row r="92" spans="1:8" ht="15.5">
      <c r="A92" s="37">
        <v>45839</v>
      </c>
      <c r="B92" s="15">
        <f t="shared" si="28"/>
        <v>626</v>
      </c>
      <c r="C92" s="15">
        <v>0</v>
      </c>
      <c r="D92" s="16">
        <f t="shared" si="29"/>
        <v>5.2166666666666668</v>
      </c>
      <c r="E92" s="16">
        <f t="shared" si="25"/>
        <v>13.216666666666667</v>
      </c>
      <c r="F92" s="16">
        <f t="shared" si="30"/>
        <v>5.2166666666666668</v>
      </c>
      <c r="G92" s="16">
        <f t="shared" si="26"/>
        <v>8</v>
      </c>
      <c r="H92" s="16">
        <f t="shared" si="27"/>
        <v>618</v>
      </c>
    </row>
    <row r="93" spans="1:8" ht="15.5">
      <c r="A93" s="37">
        <v>45870</v>
      </c>
      <c r="B93" s="15">
        <f t="shared" si="28"/>
        <v>618</v>
      </c>
      <c r="C93" s="15">
        <v>0</v>
      </c>
      <c r="D93" s="16">
        <f t="shared" si="29"/>
        <v>5.15</v>
      </c>
      <c r="E93" s="16">
        <f t="shared" si="25"/>
        <v>13.15</v>
      </c>
      <c r="F93" s="16">
        <f t="shared" si="30"/>
        <v>5.15</v>
      </c>
      <c r="G93" s="16">
        <f t="shared" si="26"/>
        <v>8</v>
      </c>
      <c r="H93" s="16">
        <f t="shared" si="27"/>
        <v>610</v>
      </c>
    </row>
    <row r="94" spans="1:8" ht="15.5">
      <c r="A94" s="37">
        <v>45901</v>
      </c>
      <c r="B94" s="15">
        <f t="shared" si="28"/>
        <v>610</v>
      </c>
      <c r="C94" s="15">
        <v>0</v>
      </c>
      <c r="D94" s="16">
        <f t="shared" si="29"/>
        <v>5.083333333333333</v>
      </c>
      <c r="E94" s="16">
        <f t="shared" si="25"/>
        <v>13.083333333333332</v>
      </c>
      <c r="F94" s="16">
        <f t="shared" si="30"/>
        <v>5.083333333333333</v>
      </c>
      <c r="G94" s="16">
        <f t="shared" si="26"/>
        <v>8</v>
      </c>
      <c r="H94" s="16">
        <f t="shared" si="27"/>
        <v>602</v>
      </c>
    </row>
    <row r="95" spans="1:8" ht="15.5">
      <c r="A95" s="37">
        <v>45931</v>
      </c>
      <c r="B95" s="15">
        <f t="shared" si="28"/>
        <v>602</v>
      </c>
      <c r="C95" s="15">
        <v>0</v>
      </c>
      <c r="D95" s="16">
        <f t="shared" si="29"/>
        <v>5.0166666666666666</v>
      </c>
      <c r="E95" s="16">
        <f t="shared" si="25"/>
        <v>13.016666666666666</v>
      </c>
      <c r="F95" s="16">
        <f t="shared" si="30"/>
        <v>5.0166666666666666</v>
      </c>
      <c r="G95" s="16">
        <f t="shared" si="26"/>
        <v>8</v>
      </c>
      <c r="H95" s="16">
        <f t="shared" si="27"/>
        <v>594</v>
      </c>
    </row>
    <row r="96" spans="1:8" ht="15.5">
      <c r="A96" s="37">
        <v>45962</v>
      </c>
      <c r="B96" s="15">
        <f t="shared" si="28"/>
        <v>594</v>
      </c>
      <c r="C96" s="15">
        <v>0</v>
      </c>
      <c r="D96" s="16">
        <f t="shared" si="29"/>
        <v>4.95</v>
      </c>
      <c r="E96" s="16">
        <f t="shared" si="25"/>
        <v>12.95</v>
      </c>
      <c r="F96" s="16">
        <f t="shared" si="30"/>
        <v>4.95</v>
      </c>
      <c r="G96" s="16">
        <f t="shared" si="26"/>
        <v>8</v>
      </c>
      <c r="H96" s="16">
        <f t="shared" si="27"/>
        <v>586</v>
      </c>
    </row>
    <row r="97" spans="1:8" ht="15.5">
      <c r="A97" s="37">
        <v>45992</v>
      </c>
      <c r="B97" s="15">
        <f t="shared" si="28"/>
        <v>586</v>
      </c>
      <c r="C97" s="15">
        <v>0</v>
      </c>
      <c r="D97" s="16">
        <f t="shared" si="29"/>
        <v>4.8833333333333337</v>
      </c>
      <c r="E97" s="16">
        <f t="shared" si="25"/>
        <v>12.883333333333333</v>
      </c>
      <c r="F97" s="16">
        <f t="shared" si="30"/>
        <v>4.8833333333333337</v>
      </c>
      <c r="G97" s="16">
        <f t="shared" si="26"/>
        <v>8</v>
      </c>
      <c r="H97" s="16">
        <f t="shared" si="27"/>
        <v>578</v>
      </c>
    </row>
    <row r="98" spans="1:8" ht="15.5">
      <c r="A98" s="37">
        <v>46023</v>
      </c>
      <c r="B98" s="15">
        <f t="shared" si="28"/>
        <v>578</v>
      </c>
      <c r="C98" s="15">
        <v>0</v>
      </c>
      <c r="D98" s="16">
        <f t="shared" si="29"/>
        <v>4.8166666666666673</v>
      </c>
      <c r="E98" s="16">
        <f t="shared" si="25"/>
        <v>12.816666666666666</v>
      </c>
      <c r="F98" s="16">
        <f t="shared" si="30"/>
        <v>4.8166666666666673</v>
      </c>
      <c r="G98" s="16">
        <f t="shared" si="26"/>
        <v>8</v>
      </c>
      <c r="H98" s="16">
        <f t="shared" si="27"/>
        <v>570</v>
      </c>
    </row>
    <row r="99" spans="1:8" ht="15.5">
      <c r="A99" s="37">
        <v>46054</v>
      </c>
      <c r="B99" s="15">
        <f t="shared" si="28"/>
        <v>570</v>
      </c>
      <c r="C99" s="15">
        <v>0</v>
      </c>
      <c r="D99" s="16">
        <f t="shared" si="29"/>
        <v>4.75</v>
      </c>
      <c r="E99" s="16">
        <f t="shared" si="25"/>
        <v>12.75</v>
      </c>
      <c r="F99" s="16">
        <f t="shared" si="30"/>
        <v>4.75</v>
      </c>
      <c r="G99" s="16">
        <f t="shared" si="26"/>
        <v>8</v>
      </c>
      <c r="H99" s="16">
        <f t="shared" si="27"/>
        <v>562</v>
      </c>
    </row>
    <row r="100" spans="1:8" ht="15.5">
      <c r="A100" s="37">
        <v>46082</v>
      </c>
      <c r="B100" s="15">
        <f>+H99</f>
        <v>562</v>
      </c>
      <c r="C100" s="15">
        <v>0</v>
      </c>
      <c r="D100" s="16">
        <f t="shared" si="29"/>
        <v>4.6833333333333336</v>
      </c>
      <c r="E100" s="16">
        <f t="shared" si="25"/>
        <v>12.683333333333334</v>
      </c>
      <c r="F100" s="16">
        <f t="shared" si="30"/>
        <v>4.6833333333333336</v>
      </c>
      <c r="G100" s="16">
        <f t="shared" si="26"/>
        <v>8</v>
      </c>
      <c r="H100" s="16">
        <f t="shared" si="27"/>
        <v>554</v>
      </c>
    </row>
    <row r="101" spans="1:8" ht="15.5">
      <c r="A101" s="38"/>
      <c r="B101" s="39"/>
      <c r="C101" s="39"/>
      <c r="D101" s="40">
        <f>SUM(D89:D100)</f>
        <v>60.600000000000009</v>
      </c>
      <c r="E101" s="40">
        <f>SUM(E89:E100)</f>
        <v>156.6</v>
      </c>
      <c r="F101" s="40">
        <f>SUM(F89:F100)</f>
        <v>60.600000000000009</v>
      </c>
      <c r="G101" s="40">
        <f>SUM(G89:G100)</f>
        <v>96</v>
      </c>
      <c r="H101" s="40"/>
    </row>
    <row r="102" spans="1:8" ht="15.5">
      <c r="A102" s="14" t="s">
        <v>56</v>
      </c>
      <c r="B102" s="15"/>
      <c r="C102" s="15"/>
      <c r="D102" s="16"/>
      <c r="E102" s="16"/>
      <c r="F102" s="16"/>
      <c r="G102" s="16"/>
      <c r="H102" s="16"/>
    </row>
    <row r="103" spans="1:8" ht="15.5">
      <c r="A103" s="37">
        <v>46113</v>
      </c>
      <c r="B103" s="15">
        <f>+H100</f>
        <v>554</v>
      </c>
      <c r="C103" s="15">
        <v>0</v>
      </c>
      <c r="D103" s="16">
        <f>(+B103+C103)*$E$16/12</f>
        <v>4.6166666666666671</v>
      </c>
      <c r="E103" s="16">
        <f t="shared" ref="E103:E114" si="31">+F103+G103</f>
        <v>12.616666666666667</v>
      </c>
      <c r="F103" s="16">
        <f>+D103</f>
        <v>4.6166666666666671</v>
      </c>
      <c r="G103" s="16">
        <f t="shared" ref="G103:G114" si="32">+$G$11</f>
        <v>8</v>
      </c>
      <c r="H103" s="16">
        <f t="shared" ref="H103:H114" si="33">+B103+C103-G103</f>
        <v>546</v>
      </c>
    </row>
    <row r="104" spans="1:8" ht="15.5">
      <c r="A104" s="37">
        <v>46143</v>
      </c>
      <c r="B104" s="15">
        <f>+H103</f>
        <v>546</v>
      </c>
      <c r="C104" s="15">
        <v>0</v>
      </c>
      <c r="D104" s="16">
        <f>(+B104+C104)*$E$16/12</f>
        <v>4.55</v>
      </c>
      <c r="E104" s="16">
        <f t="shared" si="31"/>
        <v>12.55</v>
      </c>
      <c r="F104" s="16">
        <f>+D104</f>
        <v>4.55</v>
      </c>
      <c r="G104" s="16">
        <f t="shared" si="32"/>
        <v>8</v>
      </c>
      <c r="H104" s="16">
        <f t="shared" si="33"/>
        <v>538</v>
      </c>
    </row>
    <row r="105" spans="1:8" ht="15.5">
      <c r="A105" s="37">
        <v>46174</v>
      </c>
      <c r="B105" s="15">
        <f t="shared" ref="B105:B113" si="34">+H104</f>
        <v>538</v>
      </c>
      <c r="C105" s="15">
        <v>0</v>
      </c>
      <c r="D105" s="16">
        <f t="shared" ref="D105:D114" si="35">(+B105+C105)*$E$16/12</f>
        <v>4.4833333333333334</v>
      </c>
      <c r="E105" s="16">
        <f t="shared" si="31"/>
        <v>12.483333333333334</v>
      </c>
      <c r="F105" s="16">
        <f t="shared" ref="F105:F114" si="36">+D105</f>
        <v>4.4833333333333334</v>
      </c>
      <c r="G105" s="16">
        <f t="shared" si="32"/>
        <v>8</v>
      </c>
      <c r="H105" s="16">
        <f t="shared" si="33"/>
        <v>530</v>
      </c>
    </row>
    <row r="106" spans="1:8" ht="15.5">
      <c r="A106" s="37">
        <v>46204</v>
      </c>
      <c r="B106" s="15">
        <f t="shared" si="34"/>
        <v>530</v>
      </c>
      <c r="C106" s="15">
        <v>0</v>
      </c>
      <c r="D106" s="16">
        <f t="shared" si="35"/>
        <v>4.416666666666667</v>
      </c>
      <c r="E106" s="16">
        <f t="shared" si="31"/>
        <v>12.416666666666668</v>
      </c>
      <c r="F106" s="16">
        <f t="shared" si="36"/>
        <v>4.416666666666667</v>
      </c>
      <c r="G106" s="16">
        <f t="shared" si="32"/>
        <v>8</v>
      </c>
      <c r="H106" s="16">
        <f t="shared" si="33"/>
        <v>522</v>
      </c>
    </row>
    <row r="107" spans="1:8" ht="15.5">
      <c r="A107" s="37">
        <v>46235</v>
      </c>
      <c r="B107" s="15">
        <f t="shared" si="34"/>
        <v>522</v>
      </c>
      <c r="C107" s="15">
        <v>0</v>
      </c>
      <c r="D107" s="16">
        <f t="shared" si="35"/>
        <v>4.3500000000000005</v>
      </c>
      <c r="E107" s="16">
        <f t="shared" si="31"/>
        <v>12.350000000000001</v>
      </c>
      <c r="F107" s="16">
        <f t="shared" si="36"/>
        <v>4.3500000000000005</v>
      </c>
      <c r="G107" s="16">
        <f t="shared" si="32"/>
        <v>8</v>
      </c>
      <c r="H107" s="16">
        <f t="shared" si="33"/>
        <v>514</v>
      </c>
    </row>
    <row r="108" spans="1:8" ht="15.5">
      <c r="A108" s="37">
        <v>46266</v>
      </c>
      <c r="B108" s="15">
        <f t="shared" si="34"/>
        <v>514</v>
      </c>
      <c r="C108" s="15">
        <v>0</v>
      </c>
      <c r="D108" s="16">
        <f t="shared" si="35"/>
        <v>4.2833333333333341</v>
      </c>
      <c r="E108" s="16">
        <f t="shared" si="31"/>
        <v>12.283333333333335</v>
      </c>
      <c r="F108" s="16">
        <f t="shared" si="36"/>
        <v>4.2833333333333341</v>
      </c>
      <c r="G108" s="16">
        <f t="shared" si="32"/>
        <v>8</v>
      </c>
      <c r="H108" s="16">
        <f t="shared" si="33"/>
        <v>506</v>
      </c>
    </row>
    <row r="109" spans="1:8" ht="15.5">
      <c r="A109" s="37">
        <v>46296</v>
      </c>
      <c r="B109" s="15">
        <f t="shared" si="34"/>
        <v>506</v>
      </c>
      <c r="C109" s="15">
        <v>0</v>
      </c>
      <c r="D109" s="16">
        <f t="shared" si="35"/>
        <v>4.2166666666666668</v>
      </c>
      <c r="E109" s="16">
        <f t="shared" si="31"/>
        <v>12.216666666666667</v>
      </c>
      <c r="F109" s="16">
        <f t="shared" si="36"/>
        <v>4.2166666666666668</v>
      </c>
      <c r="G109" s="16">
        <f t="shared" si="32"/>
        <v>8</v>
      </c>
      <c r="H109" s="16">
        <f t="shared" si="33"/>
        <v>498</v>
      </c>
    </row>
    <row r="110" spans="1:8" ht="15.5">
      <c r="A110" s="37">
        <v>46327</v>
      </c>
      <c r="B110" s="15">
        <f t="shared" si="34"/>
        <v>498</v>
      </c>
      <c r="C110" s="15">
        <v>0</v>
      </c>
      <c r="D110" s="16">
        <f t="shared" si="35"/>
        <v>4.1500000000000004</v>
      </c>
      <c r="E110" s="16">
        <f t="shared" si="31"/>
        <v>12.15</v>
      </c>
      <c r="F110" s="16">
        <f t="shared" si="36"/>
        <v>4.1500000000000004</v>
      </c>
      <c r="G110" s="16">
        <f t="shared" si="32"/>
        <v>8</v>
      </c>
      <c r="H110" s="16">
        <f t="shared" si="33"/>
        <v>490</v>
      </c>
    </row>
    <row r="111" spans="1:8" ht="15.5">
      <c r="A111" s="37">
        <v>46357</v>
      </c>
      <c r="B111" s="15">
        <f t="shared" si="34"/>
        <v>490</v>
      </c>
      <c r="C111" s="15">
        <v>0</v>
      </c>
      <c r="D111" s="16">
        <f t="shared" si="35"/>
        <v>4.083333333333333</v>
      </c>
      <c r="E111" s="16">
        <f t="shared" si="31"/>
        <v>12.083333333333332</v>
      </c>
      <c r="F111" s="16">
        <f t="shared" si="36"/>
        <v>4.083333333333333</v>
      </c>
      <c r="G111" s="16">
        <f t="shared" si="32"/>
        <v>8</v>
      </c>
      <c r="H111" s="16">
        <f t="shared" si="33"/>
        <v>482</v>
      </c>
    </row>
    <row r="112" spans="1:8" ht="15.5">
      <c r="A112" s="37">
        <v>46388</v>
      </c>
      <c r="B112" s="15">
        <f t="shared" si="34"/>
        <v>482</v>
      </c>
      <c r="C112" s="15">
        <v>0</v>
      </c>
      <c r="D112" s="16">
        <f t="shared" si="35"/>
        <v>4.0166666666666666</v>
      </c>
      <c r="E112" s="16">
        <f t="shared" si="31"/>
        <v>12.016666666666666</v>
      </c>
      <c r="F112" s="16">
        <f t="shared" si="36"/>
        <v>4.0166666666666666</v>
      </c>
      <c r="G112" s="16">
        <f t="shared" si="32"/>
        <v>8</v>
      </c>
      <c r="H112" s="16">
        <f t="shared" si="33"/>
        <v>474</v>
      </c>
    </row>
    <row r="113" spans="1:8" ht="15.5">
      <c r="A113" s="37">
        <v>46419</v>
      </c>
      <c r="B113" s="15">
        <f t="shared" si="34"/>
        <v>474</v>
      </c>
      <c r="C113" s="15">
        <v>0</v>
      </c>
      <c r="D113" s="16">
        <f t="shared" si="35"/>
        <v>3.9500000000000006</v>
      </c>
      <c r="E113" s="16">
        <f t="shared" si="31"/>
        <v>11.950000000000001</v>
      </c>
      <c r="F113" s="16">
        <f t="shared" si="36"/>
        <v>3.9500000000000006</v>
      </c>
      <c r="G113" s="16">
        <f t="shared" si="32"/>
        <v>8</v>
      </c>
      <c r="H113" s="16">
        <f t="shared" si="33"/>
        <v>466</v>
      </c>
    </row>
    <row r="114" spans="1:8" ht="15.5">
      <c r="A114" s="37">
        <v>46447</v>
      </c>
      <c r="B114" s="15">
        <f>+H113</f>
        <v>466</v>
      </c>
      <c r="C114" s="15">
        <v>0</v>
      </c>
      <c r="D114" s="16">
        <f t="shared" si="35"/>
        <v>3.8833333333333333</v>
      </c>
      <c r="E114" s="16">
        <f t="shared" si="31"/>
        <v>11.883333333333333</v>
      </c>
      <c r="F114" s="16">
        <f t="shared" si="36"/>
        <v>3.8833333333333333</v>
      </c>
      <c r="G114" s="16">
        <f t="shared" si="32"/>
        <v>8</v>
      </c>
      <c r="H114" s="16">
        <f t="shared" si="33"/>
        <v>458</v>
      </c>
    </row>
    <row r="115" spans="1:8" ht="15.5">
      <c r="A115" s="38"/>
      <c r="B115" s="39"/>
      <c r="C115" s="39"/>
      <c r="D115" s="40">
        <f>SUM(D103:D114)</f>
        <v>51.000000000000007</v>
      </c>
      <c r="E115" s="40">
        <f>SUM(E103:E114)</f>
        <v>147</v>
      </c>
      <c r="F115" s="40">
        <f>SUM(F103:F114)</f>
        <v>51.000000000000007</v>
      </c>
      <c r="G115" s="40">
        <f>SUM(G103:G114)</f>
        <v>96</v>
      </c>
      <c r="H115" s="40"/>
    </row>
    <row r="116" spans="1:8" ht="15.5">
      <c r="A116" s="14" t="s">
        <v>139</v>
      </c>
      <c r="B116" s="15"/>
      <c r="C116" s="15"/>
      <c r="D116" s="16"/>
      <c r="E116" s="16"/>
      <c r="F116" s="16"/>
      <c r="G116" s="16"/>
      <c r="H116" s="16"/>
    </row>
    <row r="117" spans="1:8" ht="15.5">
      <c r="A117" s="37">
        <v>46478</v>
      </c>
      <c r="B117" s="15">
        <f>+H114</f>
        <v>458</v>
      </c>
      <c r="C117" s="15">
        <v>0</v>
      </c>
      <c r="D117" s="16">
        <f>(+B117+C117)*$E$16/12</f>
        <v>3.8166666666666669</v>
      </c>
      <c r="E117" s="16">
        <f t="shared" ref="E117:E128" si="37">+F117+G117</f>
        <v>14.816666666666666</v>
      </c>
      <c r="F117" s="16">
        <f>+D117</f>
        <v>3.8166666666666669</v>
      </c>
      <c r="G117" s="16">
        <f t="shared" ref="G117:G128" si="38">+$G$12</f>
        <v>11</v>
      </c>
      <c r="H117" s="16">
        <f t="shared" ref="H117:H128" si="39">+B117+C117-G117</f>
        <v>447</v>
      </c>
    </row>
    <row r="118" spans="1:8" ht="15.5">
      <c r="A118" s="37">
        <v>46508</v>
      </c>
      <c r="B118" s="15">
        <f>+H117</f>
        <v>447</v>
      </c>
      <c r="C118" s="15">
        <v>0</v>
      </c>
      <c r="D118" s="16">
        <f>(+B118+C118)*$E$16/12</f>
        <v>3.7250000000000001</v>
      </c>
      <c r="E118" s="16">
        <f t="shared" si="37"/>
        <v>14.725</v>
      </c>
      <c r="F118" s="16">
        <f>+D118</f>
        <v>3.7250000000000001</v>
      </c>
      <c r="G118" s="16">
        <f t="shared" si="38"/>
        <v>11</v>
      </c>
      <c r="H118" s="16">
        <f t="shared" si="39"/>
        <v>436</v>
      </c>
    </row>
    <row r="119" spans="1:8" ht="15.5">
      <c r="A119" s="37">
        <v>46539</v>
      </c>
      <c r="B119" s="15">
        <f t="shared" ref="B119:B127" si="40">+H118</f>
        <v>436</v>
      </c>
      <c r="C119" s="15">
        <v>0</v>
      </c>
      <c r="D119" s="16">
        <f t="shared" ref="D119:D128" si="41">(+B119+C119)*$E$16/12</f>
        <v>3.6333333333333333</v>
      </c>
      <c r="E119" s="16">
        <f t="shared" si="37"/>
        <v>14.633333333333333</v>
      </c>
      <c r="F119" s="16">
        <f t="shared" ref="F119:F128" si="42">+D119</f>
        <v>3.6333333333333333</v>
      </c>
      <c r="G119" s="16">
        <f t="shared" si="38"/>
        <v>11</v>
      </c>
      <c r="H119" s="16">
        <f t="shared" si="39"/>
        <v>425</v>
      </c>
    </row>
    <row r="120" spans="1:8" ht="15.5">
      <c r="A120" s="37">
        <v>46569</v>
      </c>
      <c r="B120" s="15">
        <f t="shared" si="40"/>
        <v>425</v>
      </c>
      <c r="C120" s="15">
        <v>0</v>
      </c>
      <c r="D120" s="16">
        <f t="shared" si="41"/>
        <v>3.5416666666666665</v>
      </c>
      <c r="E120" s="16">
        <f t="shared" si="37"/>
        <v>14.541666666666666</v>
      </c>
      <c r="F120" s="16">
        <f t="shared" si="42"/>
        <v>3.5416666666666665</v>
      </c>
      <c r="G120" s="16">
        <f t="shared" si="38"/>
        <v>11</v>
      </c>
      <c r="H120" s="16">
        <f t="shared" si="39"/>
        <v>414</v>
      </c>
    </row>
    <row r="121" spans="1:8" ht="15.5">
      <c r="A121" s="37">
        <v>46600</v>
      </c>
      <c r="B121" s="15">
        <f t="shared" si="40"/>
        <v>414</v>
      </c>
      <c r="C121" s="15">
        <v>0</v>
      </c>
      <c r="D121" s="16">
        <f t="shared" si="41"/>
        <v>3.4500000000000006</v>
      </c>
      <c r="E121" s="16">
        <f t="shared" si="37"/>
        <v>14.450000000000001</v>
      </c>
      <c r="F121" s="16">
        <f t="shared" si="42"/>
        <v>3.4500000000000006</v>
      </c>
      <c r="G121" s="16">
        <f t="shared" si="38"/>
        <v>11</v>
      </c>
      <c r="H121" s="16">
        <f t="shared" si="39"/>
        <v>403</v>
      </c>
    </row>
    <row r="122" spans="1:8" ht="15.5">
      <c r="A122" s="37">
        <v>46631</v>
      </c>
      <c r="B122" s="15">
        <f t="shared" si="40"/>
        <v>403</v>
      </c>
      <c r="C122" s="15">
        <v>0</v>
      </c>
      <c r="D122" s="16">
        <f t="shared" si="41"/>
        <v>3.3583333333333338</v>
      </c>
      <c r="E122" s="16">
        <f t="shared" si="37"/>
        <v>14.358333333333334</v>
      </c>
      <c r="F122" s="16">
        <f t="shared" si="42"/>
        <v>3.3583333333333338</v>
      </c>
      <c r="G122" s="16">
        <f t="shared" si="38"/>
        <v>11</v>
      </c>
      <c r="H122" s="16">
        <f t="shared" si="39"/>
        <v>392</v>
      </c>
    </row>
    <row r="123" spans="1:8" ht="15.5">
      <c r="A123" s="37">
        <v>46661</v>
      </c>
      <c r="B123" s="15">
        <f t="shared" si="40"/>
        <v>392</v>
      </c>
      <c r="C123" s="15">
        <v>0</v>
      </c>
      <c r="D123" s="16">
        <f t="shared" si="41"/>
        <v>3.2666666666666671</v>
      </c>
      <c r="E123" s="16">
        <f t="shared" si="37"/>
        <v>14.266666666666667</v>
      </c>
      <c r="F123" s="16">
        <f t="shared" si="42"/>
        <v>3.2666666666666671</v>
      </c>
      <c r="G123" s="16">
        <f t="shared" si="38"/>
        <v>11</v>
      </c>
      <c r="H123" s="16">
        <f t="shared" si="39"/>
        <v>381</v>
      </c>
    </row>
    <row r="124" spans="1:8" ht="15.5">
      <c r="A124" s="37">
        <v>46692</v>
      </c>
      <c r="B124" s="15">
        <f t="shared" si="40"/>
        <v>381</v>
      </c>
      <c r="C124" s="15">
        <v>0</v>
      </c>
      <c r="D124" s="16">
        <f t="shared" si="41"/>
        <v>3.1750000000000003</v>
      </c>
      <c r="E124" s="16">
        <f t="shared" si="37"/>
        <v>14.175000000000001</v>
      </c>
      <c r="F124" s="16">
        <f t="shared" si="42"/>
        <v>3.1750000000000003</v>
      </c>
      <c r="G124" s="16">
        <f t="shared" si="38"/>
        <v>11</v>
      </c>
      <c r="H124" s="16">
        <f t="shared" si="39"/>
        <v>370</v>
      </c>
    </row>
    <row r="125" spans="1:8" ht="15.5">
      <c r="A125" s="37">
        <v>46722</v>
      </c>
      <c r="B125" s="15">
        <f t="shared" si="40"/>
        <v>370</v>
      </c>
      <c r="C125" s="15">
        <v>0</v>
      </c>
      <c r="D125" s="16">
        <f t="shared" si="41"/>
        <v>3.0833333333333335</v>
      </c>
      <c r="E125" s="16">
        <f t="shared" si="37"/>
        <v>14.083333333333334</v>
      </c>
      <c r="F125" s="16">
        <f t="shared" si="42"/>
        <v>3.0833333333333335</v>
      </c>
      <c r="G125" s="16">
        <f t="shared" si="38"/>
        <v>11</v>
      </c>
      <c r="H125" s="16">
        <f t="shared" si="39"/>
        <v>359</v>
      </c>
    </row>
    <row r="126" spans="1:8" ht="15.5">
      <c r="A126" s="37">
        <v>46753</v>
      </c>
      <c r="B126" s="15">
        <f t="shared" si="40"/>
        <v>359</v>
      </c>
      <c r="C126" s="15">
        <v>0</v>
      </c>
      <c r="D126" s="16">
        <f t="shared" si="41"/>
        <v>2.9916666666666667</v>
      </c>
      <c r="E126" s="16">
        <f t="shared" si="37"/>
        <v>13.991666666666667</v>
      </c>
      <c r="F126" s="16">
        <f t="shared" si="42"/>
        <v>2.9916666666666667</v>
      </c>
      <c r="G126" s="16">
        <f t="shared" si="38"/>
        <v>11</v>
      </c>
      <c r="H126" s="16">
        <f t="shared" si="39"/>
        <v>348</v>
      </c>
    </row>
    <row r="127" spans="1:8" ht="15.5">
      <c r="A127" s="37">
        <v>46784</v>
      </c>
      <c r="B127" s="15">
        <f t="shared" si="40"/>
        <v>348</v>
      </c>
      <c r="C127" s="15">
        <v>0</v>
      </c>
      <c r="D127" s="16">
        <f t="shared" si="41"/>
        <v>2.9000000000000004</v>
      </c>
      <c r="E127" s="16">
        <f t="shared" si="37"/>
        <v>13.9</v>
      </c>
      <c r="F127" s="16">
        <f t="shared" si="42"/>
        <v>2.9000000000000004</v>
      </c>
      <c r="G127" s="16">
        <f t="shared" si="38"/>
        <v>11</v>
      </c>
      <c r="H127" s="16">
        <f t="shared" si="39"/>
        <v>337</v>
      </c>
    </row>
    <row r="128" spans="1:8" ht="15.5">
      <c r="A128" s="37">
        <v>46813</v>
      </c>
      <c r="B128" s="15">
        <f>+H127</f>
        <v>337</v>
      </c>
      <c r="C128" s="15">
        <v>0</v>
      </c>
      <c r="D128" s="16">
        <f t="shared" si="41"/>
        <v>2.8083333333333336</v>
      </c>
      <c r="E128" s="16">
        <f t="shared" si="37"/>
        <v>13.808333333333334</v>
      </c>
      <c r="F128" s="16">
        <f t="shared" si="42"/>
        <v>2.8083333333333336</v>
      </c>
      <c r="G128" s="16">
        <f t="shared" si="38"/>
        <v>11</v>
      </c>
      <c r="H128" s="16">
        <f t="shared" si="39"/>
        <v>326</v>
      </c>
    </row>
    <row r="129" spans="1:8" ht="15.5">
      <c r="A129" s="38"/>
      <c r="B129" s="39"/>
      <c r="C129" s="39"/>
      <c r="D129" s="40">
        <f>SUM(D117:D128)</f>
        <v>39.75</v>
      </c>
      <c r="E129" s="40">
        <f>SUM(E117:E128)</f>
        <v>171.75</v>
      </c>
      <c r="F129" s="40">
        <f>SUM(F117:F128)</f>
        <v>39.75</v>
      </c>
      <c r="G129" s="40">
        <f>SUM(G117:G128)</f>
        <v>132</v>
      </c>
      <c r="H129" s="40"/>
    </row>
    <row r="130" spans="1:8" ht="15.5">
      <c r="A130" s="14" t="s">
        <v>224</v>
      </c>
      <c r="B130" s="15"/>
      <c r="C130" s="15"/>
      <c r="D130" s="16"/>
      <c r="E130" s="16"/>
      <c r="F130" s="16"/>
      <c r="G130" s="16"/>
      <c r="H130" s="16"/>
    </row>
    <row r="131" spans="1:8" ht="15.5">
      <c r="A131" s="37">
        <v>46844</v>
      </c>
      <c r="B131" s="15">
        <f>+H128</f>
        <v>326</v>
      </c>
      <c r="C131" s="15">
        <v>0</v>
      </c>
      <c r="D131" s="16">
        <f>(+B131+C131)*$E$16/12</f>
        <v>2.7166666666666668</v>
      </c>
      <c r="E131" s="16">
        <f t="shared" ref="E131:E142" si="43">+F131+G131</f>
        <v>13.716666666666667</v>
      </c>
      <c r="F131" s="16">
        <f>+D131</f>
        <v>2.7166666666666668</v>
      </c>
      <c r="G131" s="16">
        <f t="shared" ref="G131:G142" si="44">+$G$12</f>
        <v>11</v>
      </c>
      <c r="H131" s="16">
        <f t="shared" ref="H131:H142" si="45">+B131+C131-G131</f>
        <v>315</v>
      </c>
    </row>
    <row r="132" spans="1:8" ht="15.5">
      <c r="A132" s="37">
        <v>46874</v>
      </c>
      <c r="B132" s="15">
        <f>+H131</f>
        <v>315</v>
      </c>
      <c r="C132" s="15">
        <v>0</v>
      </c>
      <c r="D132" s="16">
        <f>(+B132+C132)*$E$16/12</f>
        <v>2.625</v>
      </c>
      <c r="E132" s="16">
        <f t="shared" si="43"/>
        <v>13.625</v>
      </c>
      <c r="F132" s="16">
        <f>+D132</f>
        <v>2.625</v>
      </c>
      <c r="G132" s="16">
        <f t="shared" si="44"/>
        <v>11</v>
      </c>
      <c r="H132" s="16">
        <f t="shared" si="45"/>
        <v>304</v>
      </c>
    </row>
    <row r="133" spans="1:8" ht="15.5">
      <c r="A133" s="37">
        <v>46905</v>
      </c>
      <c r="B133" s="15">
        <f t="shared" ref="B133:B141" si="46">+H132</f>
        <v>304</v>
      </c>
      <c r="C133" s="15">
        <v>0</v>
      </c>
      <c r="D133" s="16">
        <f t="shared" ref="D133:D142" si="47">(+B133+C133)*$E$16/12</f>
        <v>2.5333333333333337</v>
      </c>
      <c r="E133" s="16">
        <f t="shared" si="43"/>
        <v>13.533333333333333</v>
      </c>
      <c r="F133" s="16">
        <f t="shared" ref="F133:F142" si="48">+D133</f>
        <v>2.5333333333333337</v>
      </c>
      <c r="G133" s="16">
        <f t="shared" si="44"/>
        <v>11</v>
      </c>
      <c r="H133" s="16">
        <f t="shared" si="45"/>
        <v>293</v>
      </c>
    </row>
    <row r="134" spans="1:8" ht="15.5">
      <c r="A134" s="37">
        <v>46935</v>
      </c>
      <c r="B134" s="15">
        <f t="shared" si="46"/>
        <v>293</v>
      </c>
      <c r="C134" s="15">
        <v>0</v>
      </c>
      <c r="D134" s="16">
        <f t="shared" si="47"/>
        <v>2.4416666666666669</v>
      </c>
      <c r="E134" s="16">
        <f t="shared" si="43"/>
        <v>13.441666666666666</v>
      </c>
      <c r="F134" s="16">
        <f t="shared" si="48"/>
        <v>2.4416666666666669</v>
      </c>
      <c r="G134" s="16">
        <f t="shared" si="44"/>
        <v>11</v>
      </c>
      <c r="H134" s="16">
        <f t="shared" si="45"/>
        <v>282</v>
      </c>
    </row>
    <row r="135" spans="1:8" ht="15.5">
      <c r="A135" s="37">
        <v>46966</v>
      </c>
      <c r="B135" s="15">
        <f t="shared" si="46"/>
        <v>282</v>
      </c>
      <c r="C135" s="15">
        <v>0</v>
      </c>
      <c r="D135" s="16">
        <f t="shared" si="47"/>
        <v>2.35</v>
      </c>
      <c r="E135" s="16">
        <f t="shared" si="43"/>
        <v>13.35</v>
      </c>
      <c r="F135" s="16">
        <f t="shared" si="48"/>
        <v>2.35</v>
      </c>
      <c r="G135" s="16">
        <f t="shared" si="44"/>
        <v>11</v>
      </c>
      <c r="H135" s="16">
        <f t="shared" si="45"/>
        <v>271</v>
      </c>
    </row>
    <row r="136" spans="1:8" ht="15.5">
      <c r="A136" s="37">
        <v>46997</v>
      </c>
      <c r="B136" s="15">
        <f t="shared" si="46"/>
        <v>271</v>
      </c>
      <c r="C136" s="15">
        <v>0</v>
      </c>
      <c r="D136" s="16">
        <f t="shared" si="47"/>
        <v>2.2583333333333333</v>
      </c>
      <c r="E136" s="16">
        <f t="shared" si="43"/>
        <v>13.258333333333333</v>
      </c>
      <c r="F136" s="16">
        <f t="shared" si="48"/>
        <v>2.2583333333333333</v>
      </c>
      <c r="G136" s="16">
        <f t="shared" si="44"/>
        <v>11</v>
      </c>
      <c r="H136" s="16">
        <f t="shared" si="45"/>
        <v>260</v>
      </c>
    </row>
    <row r="137" spans="1:8" ht="15.5">
      <c r="A137" s="37">
        <v>47027</v>
      </c>
      <c r="B137" s="15">
        <f t="shared" si="46"/>
        <v>260</v>
      </c>
      <c r="C137" s="15">
        <v>0</v>
      </c>
      <c r="D137" s="16">
        <f t="shared" si="47"/>
        <v>2.1666666666666665</v>
      </c>
      <c r="E137" s="16">
        <f t="shared" si="43"/>
        <v>13.166666666666666</v>
      </c>
      <c r="F137" s="16">
        <f t="shared" si="48"/>
        <v>2.1666666666666665</v>
      </c>
      <c r="G137" s="16">
        <f t="shared" si="44"/>
        <v>11</v>
      </c>
      <c r="H137" s="16">
        <f t="shared" si="45"/>
        <v>249</v>
      </c>
    </row>
    <row r="138" spans="1:8" ht="15.5">
      <c r="A138" s="37">
        <v>47058</v>
      </c>
      <c r="B138" s="15">
        <f t="shared" si="46"/>
        <v>249</v>
      </c>
      <c r="C138" s="15">
        <v>0</v>
      </c>
      <c r="D138" s="16">
        <f t="shared" si="47"/>
        <v>2.0750000000000002</v>
      </c>
      <c r="E138" s="16">
        <f t="shared" si="43"/>
        <v>13.074999999999999</v>
      </c>
      <c r="F138" s="16">
        <f t="shared" si="48"/>
        <v>2.0750000000000002</v>
      </c>
      <c r="G138" s="16">
        <f t="shared" si="44"/>
        <v>11</v>
      </c>
      <c r="H138" s="16">
        <f t="shared" si="45"/>
        <v>238</v>
      </c>
    </row>
    <row r="139" spans="1:8" ht="15.5">
      <c r="A139" s="37">
        <v>47088</v>
      </c>
      <c r="B139" s="15">
        <f t="shared" si="46"/>
        <v>238</v>
      </c>
      <c r="C139" s="15">
        <v>0</v>
      </c>
      <c r="D139" s="16">
        <f t="shared" si="47"/>
        <v>1.9833333333333334</v>
      </c>
      <c r="E139" s="16">
        <f t="shared" si="43"/>
        <v>12.983333333333334</v>
      </c>
      <c r="F139" s="16">
        <f t="shared" si="48"/>
        <v>1.9833333333333334</v>
      </c>
      <c r="G139" s="16">
        <f t="shared" si="44"/>
        <v>11</v>
      </c>
      <c r="H139" s="16">
        <f t="shared" si="45"/>
        <v>227</v>
      </c>
    </row>
    <row r="140" spans="1:8" ht="15.5">
      <c r="A140" s="37">
        <v>47119</v>
      </c>
      <c r="B140" s="15">
        <f t="shared" si="46"/>
        <v>227</v>
      </c>
      <c r="C140" s="15">
        <v>0</v>
      </c>
      <c r="D140" s="16">
        <f t="shared" si="47"/>
        <v>1.8916666666666668</v>
      </c>
      <c r="E140" s="16">
        <f t="shared" si="43"/>
        <v>12.891666666666667</v>
      </c>
      <c r="F140" s="16">
        <f t="shared" si="48"/>
        <v>1.8916666666666668</v>
      </c>
      <c r="G140" s="16">
        <f t="shared" si="44"/>
        <v>11</v>
      </c>
      <c r="H140" s="16">
        <f t="shared" si="45"/>
        <v>216</v>
      </c>
    </row>
    <row r="141" spans="1:8" ht="15.5">
      <c r="A141" s="37">
        <v>47150</v>
      </c>
      <c r="B141" s="15">
        <f t="shared" si="46"/>
        <v>216</v>
      </c>
      <c r="C141" s="15">
        <v>0</v>
      </c>
      <c r="D141" s="16">
        <f t="shared" si="47"/>
        <v>1.8</v>
      </c>
      <c r="E141" s="16">
        <f t="shared" si="43"/>
        <v>12.8</v>
      </c>
      <c r="F141" s="16">
        <f t="shared" si="48"/>
        <v>1.8</v>
      </c>
      <c r="G141" s="16">
        <f t="shared" si="44"/>
        <v>11</v>
      </c>
      <c r="H141" s="16">
        <f t="shared" si="45"/>
        <v>205</v>
      </c>
    </row>
    <row r="142" spans="1:8" ht="15.5">
      <c r="A142" s="37">
        <v>47178</v>
      </c>
      <c r="B142" s="15">
        <f>+H141</f>
        <v>205</v>
      </c>
      <c r="C142" s="15">
        <v>0</v>
      </c>
      <c r="D142" s="16">
        <f t="shared" si="47"/>
        <v>1.7083333333333333</v>
      </c>
      <c r="E142" s="16">
        <f t="shared" si="43"/>
        <v>12.708333333333334</v>
      </c>
      <c r="F142" s="16">
        <f t="shared" si="48"/>
        <v>1.7083333333333333</v>
      </c>
      <c r="G142" s="16">
        <f t="shared" si="44"/>
        <v>11</v>
      </c>
      <c r="H142" s="16">
        <f t="shared" si="45"/>
        <v>194</v>
      </c>
    </row>
    <row r="143" spans="1:8" ht="15.5">
      <c r="A143" s="38"/>
      <c r="B143" s="39"/>
      <c r="C143" s="39"/>
      <c r="D143" s="40">
        <f>SUM(D131:D142)</f>
        <v>26.549999999999997</v>
      </c>
      <c r="E143" s="40">
        <f>SUM(E131:E142)</f>
        <v>158.55000000000001</v>
      </c>
      <c r="F143" s="40">
        <f>SUM(F131:F142)</f>
        <v>26.549999999999997</v>
      </c>
      <c r="G143" s="40">
        <f>SUM(G131:G142)</f>
        <v>132</v>
      </c>
      <c r="H143" s="40"/>
    </row>
    <row r="144" spans="1:8" ht="15.5">
      <c r="A144" s="14" t="s">
        <v>363</v>
      </c>
      <c r="B144" s="15"/>
      <c r="C144" s="15"/>
      <c r="D144" s="16"/>
      <c r="E144" s="16"/>
      <c r="F144" s="16"/>
      <c r="G144" s="16"/>
      <c r="H144" s="16"/>
    </row>
    <row r="145" spans="1:11" ht="15.5">
      <c r="A145" s="37">
        <v>47209</v>
      </c>
      <c r="B145" s="15">
        <f>+H142</f>
        <v>194</v>
      </c>
      <c r="C145" s="15">
        <v>0</v>
      </c>
      <c r="D145" s="16">
        <f>(+B145+C145)*$E$16/12</f>
        <v>1.6166666666666669</v>
      </c>
      <c r="E145" s="16">
        <f t="shared" ref="E145:E156" si="49">+F145+G145</f>
        <v>12.616666666666667</v>
      </c>
      <c r="F145" s="16">
        <f>+D145</f>
        <v>1.6166666666666669</v>
      </c>
      <c r="G145" s="16">
        <f t="shared" ref="G145:G156" si="50">+$G$12</f>
        <v>11</v>
      </c>
      <c r="H145" s="16">
        <f t="shared" ref="H145:H156" si="51">+B145+C145-G145</f>
        <v>183</v>
      </c>
      <c r="K145">
        <v>3000000</v>
      </c>
    </row>
    <row r="146" spans="1:11" ht="15.5">
      <c r="A146" s="37">
        <v>47239</v>
      </c>
      <c r="B146" s="15">
        <f>+H145</f>
        <v>183</v>
      </c>
      <c r="C146" s="15">
        <v>0</v>
      </c>
      <c r="D146" s="16">
        <f>(+B146+C146)*$E$16/12</f>
        <v>1.5250000000000001</v>
      </c>
      <c r="E146" s="16">
        <f t="shared" si="49"/>
        <v>12.525</v>
      </c>
      <c r="F146" s="16">
        <f>+D146</f>
        <v>1.5250000000000001</v>
      </c>
      <c r="G146" s="16">
        <f t="shared" si="50"/>
        <v>11</v>
      </c>
      <c r="H146" s="16">
        <f t="shared" si="51"/>
        <v>172</v>
      </c>
      <c r="K146">
        <f>895238*7</f>
        <v>6266666</v>
      </c>
    </row>
    <row r="147" spans="1:11" ht="15.5">
      <c r="A147" s="37">
        <v>47270</v>
      </c>
      <c r="B147" s="15">
        <f t="shared" ref="B147:B155" si="52">+H146</f>
        <v>172</v>
      </c>
      <c r="C147" s="15">
        <v>0</v>
      </c>
      <c r="D147" s="16">
        <f t="shared" ref="D147:D156" si="53">(+B147+C147)*$E$16/12</f>
        <v>1.4333333333333333</v>
      </c>
      <c r="E147" s="16">
        <f t="shared" si="49"/>
        <v>12.433333333333334</v>
      </c>
      <c r="F147" s="16">
        <f t="shared" ref="F147:F156" si="54">+D147</f>
        <v>1.4333333333333333</v>
      </c>
      <c r="G147" s="16">
        <f t="shared" si="50"/>
        <v>11</v>
      </c>
      <c r="H147" s="16">
        <f t="shared" si="51"/>
        <v>161</v>
      </c>
    </row>
    <row r="148" spans="1:11" ht="15.5">
      <c r="A148" s="37">
        <v>47300</v>
      </c>
      <c r="B148" s="15">
        <f t="shared" si="52"/>
        <v>161</v>
      </c>
      <c r="C148" s="15">
        <v>0</v>
      </c>
      <c r="D148" s="16">
        <f t="shared" si="53"/>
        <v>1.3416666666666668</v>
      </c>
      <c r="E148" s="16">
        <f t="shared" si="49"/>
        <v>12.341666666666667</v>
      </c>
      <c r="F148" s="16">
        <f t="shared" si="54"/>
        <v>1.3416666666666668</v>
      </c>
      <c r="G148" s="16">
        <f t="shared" si="50"/>
        <v>11</v>
      </c>
      <c r="H148" s="16">
        <f t="shared" si="51"/>
        <v>150</v>
      </c>
      <c r="K148">
        <f>+SUM(K145:K146)</f>
        <v>9266666</v>
      </c>
    </row>
    <row r="149" spans="1:11" ht="15.5">
      <c r="A149" s="37">
        <v>47331</v>
      </c>
      <c r="B149" s="15">
        <f t="shared" si="52"/>
        <v>150</v>
      </c>
      <c r="C149" s="15">
        <v>0</v>
      </c>
      <c r="D149" s="16">
        <f t="shared" si="53"/>
        <v>1.25</v>
      </c>
      <c r="E149" s="16">
        <f t="shared" si="49"/>
        <v>12.25</v>
      </c>
      <c r="F149" s="16">
        <f t="shared" si="54"/>
        <v>1.25</v>
      </c>
      <c r="G149" s="16">
        <f t="shared" si="50"/>
        <v>11</v>
      </c>
      <c r="H149" s="16">
        <f t="shared" si="51"/>
        <v>139</v>
      </c>
      <c r="K149">
        <f>895238*12</f>
        <v>10742856</v>
      </c>
    </row>
    <row r="150" spans="1:11" ht="15.5">
      <c r="A150" s="37">
        <v>47362</v>
      </c>
      <c r="B150" s="15">
        <f t="shared" si="52"/>
        <v>139</v>
      </c>
      <c r="C150" s="15">
        <v>0</v>
      </c>
      <c r="D150" s="16">
        <f t="shared" si="53"/>
        <v>1.1583333333333334</v>
      </c>
      <c r="E150" s="16">
        <f t="shared" si="49"/>
        <v>12.158333333333333</v>
      </c>
      <c r="F150" s="16">
        <f t="shared" si="54"/>
        <v>1.1583333333333334</v>
      </c>
      <c r="G150" s="16">
        <f t="shared" si="50"/>
        <v>11</v>
      </c>
      <c r="H150" s="16">
        <f t="shared" si="51"/>
        <v>128</v>
      </c>
      <c r="K150">
        <f>895238*12</f>
        <v>10742856</v>
      </c>
    </row>
    <row r="151" spans="1:11" ht="15.5">
      <c r="A151" s="37">
        <v>47392</v>
      </c>
      <c r="B151" s="15">
        <f t="shared" si="52"/>
        <v>128</v>
      </c>
      <c r="C151" s="15">
        <v>0</v>
      </c>
      <c r="D151" s="16">
        <f t="shared" si="53"/>
        <v>1.0666666666666667</v>
      </c>
      <c r="E151" s="16">
        <f t="shared" si="49"/>
        <v>12.066666666666666</v>
      </c>
      <c r="F151" s="16">
        <f t="shared" si="54"/>
        <v>1.0666666666666667</v>
      </c>
      <c r="G151" s="16">
        <f t="shared" si="50"/>
        <v>11</v>
      </c>
      <c r="H151" s="16">
        <f t="shared" si="51"/>
        <v>117</v>
      </c>
      <c r="K151">
        <v>8952380</v>
      </c>
    </row>
    <row r="152" spans="1:11" ht="15.5">
      <c r="A152" s="37">
        <v>47423</v>
      </c>
      <c r="B152" s="15">
        <f t="shared" si="52"/>
        <v>117</v>
      </c>
      <c r="C152" s="15">
        <v>0</v>
      </c>
      <c r="D152" s="16">
        <f t="shared" si="53"/>
        <v>0.97500000000000009</v>
      </c>
      <c r="E152" s="16">
        <f t="shared" si="49"/>
        <v>11.975</v>
      </c>
      <c r="F152" s="16">
        <f t="shared" si="54"/>
        <v>0.97500000000000009</v>
      </c>
      <c r="G152" s="16">
        <f t="shared" si="50"/>
        <v>11</v>
      </c>
      <c r="H152" s="16">
        <f t="shared" si="51"/>
        <v>106</v>
      </c>
      <c r="K152">
        <v>4200000</v>
      </c>
    </row>
    <row r="153" spans="1:11" ht="15.5">
      <c r="A153" s="37">
        <v>47453</v>
      </c>
      <c r="B153" s="15">
        <f t="shared" si="52"/>
        <v>106</v>
      </c>
      <c r="C153" s="15">
        <v>0</v>
      </c>
      <c r="D153" s="16">
        <f t="shared" si="53"/>
        <v>0.88333333333333341</v>
      </c>
      <c r="E153" s="16">
        <f t="shared" si="49"/>
        <v>11.883333333333333</v>
      </c>
      <c r="F153" s="16">
        <f t="shared" si="54"/>
        <v>0.88333333333333341</v>
      </c>
      <c r="G153" s="16">
        <f t="shared" si="50"/>
        <v>11</v>
      </c>
      <c r="H153" s="16">
        <f t="shared" si="51"/>
        <v>95</v>
      </c>
      <c r="K153">
        <v>7200000</v>
      </c>
    </row>
    <row r="154" spans="1:11" ht="15.5">
      <c r="A154" s="37">
        <v>47484</v>
      </c>
      <c r="B154" s="15">
        <f t="shared" si="52"/>
        <v>95</v>
      </c>
      <c r="C154" s="15">
        <v>0</v>
      </c>
      <c r="D154" s="16">
        <f t="shared" si="53"/>
        <v>0.79166666666666663</v>
      </c>
      <c r="E154" s="16">
        <f t="shared" si="49"/>
        <v>11.791666666666666</v>
      </c>
      <c r="F154" s="16">
        <f t="shared" si="54"/>
        <v>0.79166666666666663</v>
      </c>
      <c r="G154" s="16">
        <f t="shared" si="50"/>
        <v>11</v>
      </c>
      <c r="H154" s="16">
        <f t="shared" si="51"/>
        <v>84</v>
      </c>
      <c r="K154">
        <f>+SUM(K148:K153)</f>
        <v>51104758</v>
      </c>
    </row>
    <row r="155" spans="1:11" ht="15.5">
      <c r="A155" s="37">
        <v>47515</v>
      </c>
      <c r="B155" s="15">
        <f t="shared" si="52"/>
        <v>84</v>
      </c>
      <c r="C155" s="15">
        <v>0</v>
      </c>
      <c r="D155" s="16">
        <f t="shared" si="53"/>
        <v>0.70000000000000007</v>
      </c>
      <c r="E155" s="16">
        <f t="shared" si="49"/>
        <v>11.7</v>
      </c>
      <c r="F155" s="16">
        <f t="shared" si="54"/>
        <v>0.70000000000000007</v>
      </c>
      <c r="G155" s="16">
        <f t="shared" si="50"/>
        <v>11</v>
      </c>
      <c r="H155" s="16">
        <f t="shared" si="51"/>
        <v>73</v>
      </c>
      <c r="K155">
        <v>52000000</v>
      </c>
    </row>
    <row r="156" spans="1:11" ht="15.5">
      <c r="A156" s="37">
        <v>47543</v>
      </c>
      <c r="B156" s="15">
        <f>+H155</f>
        <v>73</v>
      </c>
      <c r="C156" s="15">
        <v>0</v>
      </c>
      <c r="D156" s="16">
        <f t="shared" si="53"/>
        <v>0.60833333333333339</v>
      </c>
      <c r="E156" s="16">
        <f t="shared" si="49"/>
        <v>11.608333333333334</v>
      </c>
      <c r="F156" s="16">
        <f t="shared" si="54"/>
        <v>0.60833333333333339</v>
      </c>
      <c r="G156" s="16">
        <f t="shared" si="50"/>
        <v>11</v>
      </c>
      <c r="H156" s="16">
        <f t="shared" si="51"/>
        <v>62</v>
      </c>
      <c r="K156">
        <f>+K155-K154</f>
        <v>895242</v>
      </c>
    </row>
    <row r="157" spans="1:11" ht="15.5">
      <c r="A157" s="38"/>
      <c r="B157" s="39"/>
      <c r="C157" s="39"/>
      <c r="D157" s="40">
        <f>SUM(D145:D156)</f>
        <v>13.349999999999998</v>
      </c>
      <c r="E157" s="40">
        <f>SUM(E145:E156)</f>
        <v>145.35000000000002</v>
      </c>
      <c r="F157" s="40">
        <f>SUM(F145:F156)</f>
        <v>13.349999999999998</v>
      </c>
      <c r="G157" s="40">
        <f>SUM(G145:G156)</f>
        <v>132</v>
      </c>
      <c r="H157" s="40"/>
    </row>
    <row r="158" spans="1:11" ht="15.5">
      <c r="A158" s="14" t="s">
        <v>364</v>
      </c>
      <c r="B158" s="15"/>
      <c r="C158" s="15"/>
      <c r="D158" s="16"/>
      <c r="E158" s="16"/>
      <c r="F158" s="16"/>
      <c r="G158" s="16"/>
      <c r="H158" s="16"/>
    </row>
    <row r="159" spans="1:11" ht="15.5">
      <c r="A159" s="37">
        <v>47574</v>
      </c>
      <c r="B159" s="15">
        <f>+H156</f>
        <v>62</v>
      </c>
      <c r="C159" s="15">
        <v>0</v>
      </c>
      <c r="D159" s="16">
        <f>(+B159+C159)*$E$16/12</f>
        <v>0.51666666666666672</v>
      </c>
      <c r="E159" s="16">
        <f t="shared" ref="E159:E170" si="55">+F159+G159</f>
        <v>11.516666666666667</v>
      </c>
      <c r="F159" s="16">
        <f>+D159</f>
        <v>0.51666666666666672</v>
      </c>
      <c r="G159" s="16">
        <f t="shared" ref="G159:G163" si="56">+$G$12</f>
        <v>11</v>
      </c>
      <c r="H159" s="16">
        <f t="shared" ref="H159:H170" si="57">+B159+C159-G159</f>
        <v>51</v>
      </c>
    </row>
    <row r="160" spans="1:11" ht="15.5">
      <c r="A160" s="37">
        <v>47604</v>
      </c>
      <c r="B160" s="15">
        <f>+H159</f>
        <v>51</v>
      </c>
      <c r="C160" s="15">
        <v>0</v>
      </c>
      <c r="D160" s="16">
        <f>(+B160+C160)*$E$16/12</f>
        <v>0.42500000000000004</v>
      </c>
      <c r="E160" s="16">
        <f t="shared" si="55"/>
        <v>11.425000000000001</v>
      </c>
      <c r="F160" s="16">
        <f>+D160</f>
        <v>0.42500000000000004</v>
      </c>
      <c r="G160" s="16">
        <f t="shared" si="56"/>
        <v>11</v>
      </c>
      <c r="H160" s="16">
        <f t="shared" si="57"/>
        <v>40</v>
      </c>
    </row>
    <row r="161" spans="1:8" ht="15.5">
      <c r="A161" s="37">
        <v>47635</v>
      </c>
      <c r="B161" s="15">
        <f t="shared" ref="B161:B169" si="58">+H160</f>
        <v>40</v>
      </c>
      <c r="C161" s="15">
        <v>0</v>
      </c>
      <c r="D161" s="16">
        <f t="shared" ref="D161:D170" si="59">(+B161+C161)*$E$16/12</f>
        <v>0.33333333333333331</v>
      </c>
      <c r="E161" s="16">
        <f t="shared" si="55"/>
        <v>11.333333333333334</v>
      </c>
      <c r="F161" s="16">
        <f t="shared" ref="F161:F170" si="60">+D161</f>
        <v>0.33333333333333331</v>
      </c>
      <c r="G161" s="16">
        <f t="shared" si="56"/>
        <v>11</v>
      </c>
      <c r="H161" s="16">
        <f t="shared" si="57"/>
        <v>29</v>
      </c>
    </row>
    <row r="162" spans="1:8" ht="15.5">
      <c r="A162" s="37">
        <v>47665</v>
      </c>
      <c r="B162" s="15">
        <f t="shared" si="58"/>
        <v>29</v>
      </c>
      <c r="C162" s="15">
        <v>0</v>
      </c>
      <c r="D162" s="16">
        <f t="shared" si="59"/>
        <v>0.2416666666666667</v>
      </c>
      <c r="E162" s="16">
        <f t="shared" si="55"/>
        <v>11.241666666666667</v>
      </c>
      <c r="F162" s="16">
        <f t="shared" si="60"/>
        <v>0.2416666666666667</v>
      </c>
      <c r="G162" s="16">
        <f t="shared" si="56"/>
        <v>11</v>
      </c>
      <c r="H162" s="16">
        <f t="shared" si="57"/>
        <v>18</v>
      </c>
    </row>
    <row r="163" spans="1:8" ht="15.5">
      <c r="A163" s="37">
        <v>47696</v>
      </c>
      <c r="B163" s="15">
        <f t="shared" si="58"/>
        <v>18</v>
      </c>
      <c r="C163" s="15">
        <v>0</v>
      </c>
      <c r="D163" s="16">
        <f t="shared" si="59"/>
        <v>0.15</v>
      </c>
      <c r="E163" s="16">
        <f t="shared" si="55"/>
        <v>11.15</v>
      </c>
      <c r="F163" s="16">
        <f t="shared" si="60"/>
        <v>0.15</v>
      </c>
      <c r="G163" s="16">
        <f t="shared" si="56"/>
        <v>11</v>
      </c>
      <c r="H163" s="16">
        <f t="shared" si="57"/>
        <v>7</v>
      </c>
    </row>
    <row r="164" spans="1:8" ht="15.5">
      <c r="A164" s="37">
        <v>47727</v>
      </c>
      <c r="B164" s="15">
        <f t="shared" si="58"/>
        <v>7</v>
      </c>
      <c r="C164" s="15">
        <v>0</v>
      </c>
      <c r="D164" s="16">
        <f t="shared" si="59"/>
        <v>5.8333333333333341E-2</v>
      </c>
      <c r="E164" s="16">
        <f t="shared" si="55"/>
        <v>7.0583333333333336</v>
      </c>
      <c r="F164" s="16">
        <f t="shared" si="60"/>
        <v>5.8333333333333341E-2</v>
      </c>
      <c r="G164" s="16">
        <f>+G13</f>
        <v>7</v>
      </c>
      <c r="H164" s="16">
        <f t="shared" si="57"/>
        <v>0</v>
      </c>
    </row>
    <row r="165" spans="1:8" ht="15.5">
      <c r="A165" s="37">
        <v>47757</v>
      </c>
      <c r="B165" s="15">
        <f t="shared" si="58"/>
        <v>0</v>
      </c>
      <c r="C165" s="15">
        <v>0</v>
      </c>
      <c r="D165" s="16">
        <f t="shared" si="59"/>
        <v>0</v>
      </c>
      <c r="E165" s="16">
        <f t="shared" si="55"/>
        <v>0</v>
      </c>
      <c r="F165" s="16">
        <f t="shared" si="60"/>
        <v>0</v>
      </c>
      <c r="G165" s="16">
        <v>0</v>
      </c>
      <c r="H165" s="16">
        <f t="shared" si="57"/>
        <v>0</v>
      </c>
    </row>
    <row r="166" spans="1:8" ht="15.5">
      <c r="A166" s="37">
        <v>47788</v>
      </c>
      <c r="B166" s="15">
        <f t="shared" si="58"/>
        <v>0</v>
      </c>
      <c r="C166" s="15">
        <v>0</v>
      </c>
      <c r="D166" s="16">
        <f t="shared" si="59"/>
        <v>0</v>
      </c>
      <c r="E166" s="16">
        <f t="shared" si="55"/>
        <v>0</v>
      </c>
      <c r="F166" s="16">
        <f t="shared" si="60"/>
        <v>0</v>
      </c>
      <c r="G166" s="16">
        <v>0</v>
      </c>
      <c r="H166" s="16">
        <f t="shared" si="57"/>
        <v>0</v>
      </c>
    </row>
    <row r="167" spans="1:8" ht="15.5">
      <c r="A167" s="37">
        <v>47818</v>
      </c>
      <c r="B167" s="15">
        <f t="shared" si="58"/>
        <v>0</v>
      </c>
      <c r="C167" s="15">
        <v>0</v>
      </c>
      <c r="D167" s="16">
        <f t="shared" si="59"/>
        <v>0</v>
      </c>
      <c r="E167" s="16">
        <f t="shared" si="55"/>
        <v>0</v>
      </c>
      <c r="F167" s="16">
        <f t="shared" si="60"/>
        <v>0</v>
      </c>
      <c r="G167" s="16">
        <v>0</v>
      </c>
      <c r="H167" s="16">
        <f t="shared" si="57"/>
        <v>0</v>
      </c>
    </row>
    <row r="168" spans="1:8" ht="15.5">
      <c r="A168" s="37">
        <v>47849</v>
      </c>
      <c r="B168" s="15">
        <f t="shared" si="58"/>
        <v>0</v>
      </c>
      <c r="C168" s="15">
        <v>0</v>
      </c>
      <c r="D168" s="16">
        <f t="shared" si="59"/>
        <v>0</v>
      </c>
      <c r="E168" s="16">
        <f t="shared" si="55"/>
        <v>0</v>
      </c>
      <c r="F168" s="16">
        <f t="shared" si="60"/>
        <v>0</v>
      </c>
      <c r="G168" s="16">
        <v>0</v>
      </c>
      <c r="H168" s="16">
        <f t="shared" si="57"/>
        <v>0</v>
      </c>
    </row>
    <row r="169" spans="1:8" ht="15.5">
      <c r="A169" s="37">
        <v>47880</v>
      </c>
      <c r="B169" s="15">
        <f t="shared" si="58"/>
        <v>0</v>
      </c>
      <c r="C169" s="15">
        <v>0</v>
      </c>
      <c r="D169" s="16">
        <f t="shared" si="59"/>
        <v>0</v>
      </c>
      <c r="E169" s="16">
        <f t="shared" si="55"/>
        <v>0</v>
      </c>
      <c r="F169" s="16">
        <f t="shared" si="60"/>
        <v>0</v>
      </c>
      <c r="G169" s="16">
        <v>0</v>
      </c>
      <c r="H169" s="16">
        <f t="shared" si="57"/>
        <v>0</v>
      </c>
    </row>
    <row r="170" spans="1:8" ht="15.5">
      <c r="A170" s="37">
        <v>47908</v>
      </c>
      <c r="B170" s="15">
        <f>+H169</f>
        <v>0</v>
      </c>
      <c r="C170" s="15">
        <v>0</v>
      </c>
      <c r="D170" s="16">
        <f t="shared" si="59"/>
        <v>0</v>
      </c>
      <c r="E170" s="16">
        <f t="shared" si="55"/>
        <v>0</v>
      </c>
      <c r="F170" s="16">
        <f t="shared" si="60"/>
        <v>0</v>
      </c>
      <c r="G170" s="16">
        <v>0</v>
      </c>
      <c r="H170" s="16">
        <f t="shared" si="57"/>
        <v>0</v>
      </c>
    </row>
    <row r="171" spans="1:8" ht="15.5">
      <c r="A171" s="38"/>
      <c r="B171" s="39"/>
      <c r="C171" s="39"/>
      <c r="D171" s="40">
        <f>SUM(D159:D170)</f>
        <v>1.7250000000000001</v>
      </c>
      <c r="E171" s="40">
        <f>SUM(E159:E170)</f>
        <v>63.725000000000009</v>
      </c>
      <c r="F171" s="40">
        <f>SUM(F159:F170)</f>
        <v>1.7250000000000001</v>
      </c>
      <c r="G171" s="40">
        <f>SUM(G159:G170)</f>
        <v>62</v>
      </c>
      <c r="H171" s="40"/>
    </row>
  </sheetData>
  <mergeCells count="1">
    <mergeCell ref="A2:H2"/>
  </mergeCells>
  <pageMargins left="0.7" right="0.7" top="0.75" bottom="0.75" header="0.3" footer="0.3"/>
  <pageSetup scale="73" orientation="landscape" r:id="rId1"/>
  <headerFooter>
    <oddHeader>&amp;C&amp;"Book Antiqua,Bold"&amp;13</oddHeader>
    <oddFooter>&amp;C&amp;"-,Bold"&amp;12Prepared by JNR Corporate Advisory Services Private Limited, Contact details: jnr4india@gmail.com, +918602267779, +918962611446</oddFooter>
  </headerFooter>
  <rowBreaks count="5" manualBreakCount="5">
    <brk id="31" max="7" man="1"/>
    <brk id="59" max="7" man="1"/>
    <brk id="87" max="7" man="1"/>
    <brk id="115" max="7" man="1"/>
    <brk id="157"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8AAD-DC85-400B-A81E-EA21A766D8AE}">
  <sheetPr>
    <tabColor rgb="FF92D050"/>
  </sheetPr>
  <dimension ref="A1:I26"/>
  <sheetViews>
    <sheetView showGridLines="0" view="pageBreakPreview" zoomScaleSheetLayoutView="100" workbookViewId="0">
      <selection activeCell="D10" sqref="D10"/>
    </sheetView>
  </sheetViews>
  <sheetFormatPr defaultRowHeight="14.5"/>
  <cols>
    <col min="1" max="1" width="44" customWidth="1"/>
    <col min="2" max="2" width="0" hidden="1" customWidth="1"/>
    <col min="3" max="3" width="10.81640625" hidden="1" customWidth="1"/>
  </cols>
  <sheetData>
    <row r="1" spans="1:9" ht="18.5">
      <c r="A1" s="618" t="s">
        <v>384</v>
      </c>
      <c r="B1" s="618"/>
      <c r="C1" s="618"/>
      <c r="D1" s="618"/>
      <c r="E1" s="618"/>
      <c r="F1" s="618"/>
      <c r="G1" s="618"/>
      <c r="H1" s="618"/>
      <c r="I1" s="618"/>
    </row>
    <row r="2" spans="1:9" ht="15.5">
      <c r="A2" s="619" t="s">
        <v>286</v>
      </c>
      <c r="B2" s="619"/>
      <c r="C2" s="619"/>
      <c r="D2" s="619"/>
      <c r="E2" s="619"/>
      <c r="F2" s="619"/>
      <c r="G2" s="619"/>
      <c r="H2" s="619"/>
      <c r="I2" s="619"/>
    </row>
    <row r="3" spans="1:9" ht="15.5">
      <c r="A3" s="434" t="s">
        <v>1</v>
      </c>
      <c r="B3" s="434" t="s">
        <v>21</v>
      </c>
      <c r="C3" s="434" t="s">
        <v>27</v>
      </c>
      <c r="D3" s="434" t="s">
        <v>28</v>
      </c>
      <c r="E3" s="434" t="s">
        <v>57</v>
      </c>
      <c r="F3" s="434" t="s">
        <v>138</v>
      </c>
      <c r="G3" s="434" t="s">
        <v>225</v>
      </c>
      <c r="H3" s="434" t="s">
        <v>729</v>
      </c>
      <c r="I3" s="434" t="s">
        <v>730</v>
      </c>
    </row>
    <row r="4" spans="1:9" ht="15.5">
      <c r="A4" s="310" t="s">
        <v>287</v>
      </c>
      <c r="B4" s="311">
        <f>+'Project PL  P2'!D8</f>
        <v>0</v>
      </c>
      <c r="C4" s="311">
        <f>+'Project PL  P2'!E8</f>
        <v>175.58340271739132</v>
      </c>
      <c r="D4" s="311">
        <f>+'Project PL  P2'!F8</f>
        <v>1255.9449532608694</v>
      </c>
      <c r="E4" s="311">
        <f>+'Project PL  P2'!G8</f>
        <v>1255.9449532608694</v>
      </c>
      <c r="F4" s="311">
        <f>+'Project PL  P2'!H8</f>
        <v>1284.3755203804349</v>
      </c>
      <c r="G4" s="311">
        <f>+'Project PL  P2'!I8</f>
        <v>1255.9449532608694</v>
      </c>
      <c r="H4" s="311">
        <f>+'Project PL  P2'!J8</f>
        <v>1284.3755203804349</v>
      </c>
      <c r="I4" s="311">
        <f>+'Project PL  P2'!K8</f>
        <v>1255.9449532608694</v>
      </c>
    </row>
    <row r="5" spans="1:9" ht="15.5">
      <c r="A5" s="312" t="s">
        <v>288</v>
      </c>
      <c r="B5" s="313">
        <f>+'Project PL  P2'!D24</f>
        <v>0</v>
      </c>
      <c r="C5" s="313">
        <f>+'Project PL  P2'!E24</f>
        <v>31.424785034518898</v>
      </c>
      <c r="D5" s="313">
        <f>+'Project PL  P2'!F24</f>
        <v>181.81943879024908</v>
      </c>
      <c r="E5" s="313">
        <f>+'Project PL  P2'!G24</f>
        <v>191.41943879024907</v>
      </c>
      <c r="F5" s="313">
        <f>+'Project PL  P2'!H24</f>
        <v>222.55569732285801</v>
      </c>
      <c r="G5" s="313">
        <f>+'Project PL  P2'!I24</f>
        <v>220.5367387902491</v>
      </c>
      <c r="H5" s="313">
        <f>+'Project PL  P2'!J24</f>
        <v>251.48135590981443</v>
      </c>
      <c r="I5" s="313">
        <f>+'Project PL  P2'!K24</f>
        <v>245.36173879024912</v>
      </c>
    </row>
    <row r="6" spans="1:9" ht="15.5">
      <c r="A6" s="435" t="s">
        <v>289</v>
      </c>
      <c r="B6" s="436" t="e">
        <f>+B5/B4</f>
        <v>#DIV/0!</v>
      </c>
      <c r="C6" s="436">
        <f t="shared" ref="C6:G6" si="0">+C5/C4</f>
        <v>0.17897355073530713</v>
      </c>
      <c r="D6" s="436">
        <f t="shared" si="0"/>
        <v>0.14476704438214641</v>
      </c>
      <c r="E6" s="436">
        <f t="shared" si="0"/>
        <v>0.15241069148234379</v>
      </c>
      <c r="F6" s="436">
        <f t="shared" si="0"/>
        <v>0.173279304838305</v>
      </c>
      <c r="G6" s="436">
        <f t="shared" si="0"/>
        <v>0.17559427124386234</v>
      </c>
      <c r="H6" s="436">
        <f t="shared" ref="H6:I6" si="1">+H5/H4</f>
        <v>0.19580048974720812</v>
      </c>
      <c r="I6" s="436">
        <f t="shared" si="1"/>
        <v>0.19536026491702904</v>
      </c>
    </row>
    <row r="7" spans="1:9" ht="15.5">
      <c r="A7" s="310" t="s">
        <v>290</v>
      </c>
      <c r="B7" s="311">
        <f>+'Project BS P2 '!D6+'Project BS P2 '!D7+'Project BS P2 '!D9</f>
        <v>50</v>
      </c>
      <c r="C7" s="311">
        <f>+'Project BS P2 '!E6+'Project BS P2 '!E7+'Project BS P2 '!E9</f>
        <v>328.46042070067426</v>
      </c>
      <c r="D7" s="311">
        <f>+'Project BS P2 '!F6+'Project BS P2 '!F7+'Project BS P2 '!F9</f>
        <v>453.006943672386</v>
      </c>
      <c r="E7" s="311">
        <f>+'Project BS P2 '!G6+'Project BS P2 '!G7+'Project BS P2 '!G9</f>
        <v>582.71346664409771</v>
      </c>
      <c r="F7" s="311">
        <f>+'Project BS P2 '!H6+'Project BS P2 '!H7+'Project BS P2 '!H9</f>
        <v>735.58580936852707</v>
      </c>
      <c r="G7" s="311">
        <f>+'Project BS P2 '!I6+'Project BS P2 '!I7+'Project BS P2 '!I9</f>
        <v>883.11203734023877</v>
      </c>
      <c r="H7" s="311">
        <f>+'Project BS P2 '!J6+'Project BS P2 '!J7+'Project BS P2 '!J9</f>
        <v>1052.9481898635809</v>
      </c>
      <c r="I7" s="311">
        <f>+'Project BS P2 '!K6+'Project BS P2 '!K7+'Project BS P2 '!K9</f>
        <v>1213.1903678352928</v>
      </c>
    </row>
    <row r="8" spans="1:9" ht="15.5">
      <c r="A8" s="310" t="s">
        <v>291</v>
      </c>
      <c r="B8" s="311">
        <f>+'Project BS P2 '!D11+'Project BS P2 '!D14+'Project BS P2 '!D15+'Project BS P2 '!D16+'Project BS P2 '!D17</f>
        <v>175</v>
      </c>
      <c r="C8" s="311">
        <f>+'Project BS P2 '!E11+'Project BS P2 '!E14+'Project BS P2 '!E15+'Project BS P2 '!E16+'Project BS P2 '!E17</f>
        <v>769.03555855327193</v>
      </c>
      <c r="D8" s="311">
        <f>+'Project BS P2 '!F11+'Project BS P2 '!F14+'Project BS P2 '!F15+'Project BS P2 '!F16+'Project BS P2 '!F17</f>
        <v>732.84957299542839</v>
      </c>
      <c r="E8" s="311">
        <f>+'Project BS P2 '!G11+'Project BS P2 '!G14+'Project BS P2 '!G15+'Project BS P2 '!G16+'Project BS P2 '!G17</f>
        <v>638.28957299542833</v>
      </c>
      <c r="F8" s="311">
        <f>+'Project BS P2 '!H11+'Project BS P2 '!H14+'Project BS P2 '!H15+'Project BS P2 '!H16+'Project BS P2 '!H17</f>
        <v>511.55678798139473</v>
      </c>
      <c r="G8" s="311">
        <f>+'Project BS P2 '!I11+'Project BS P2 '!I14+'Project BS P2 '!I15+'Project BS P2 '!I16+'Project BS P2 '!I17</f>
        <v>378.27355429679824</v>
      </c>
      <c r="H8" s="311">
        <f>+'Project BS P2 '!J11+'Project BS P2 '!J14+'Project BS P2 '!J15+'Project BS P2 '!J16+'Project BS P2 '!J17</f>
        <v>251.793544125007</v>
      </c>
      <c r="I8" s="311">
        <f>+'Project BS P2 '!K11+'Project BS P2 '!K14+'Project BS P2 '!K15+'Project BS P2 '!K16+'Project BS P2 '!K17</f>
        <v>187.99730429679823</v>
      </c>
    </row>
    <row r="9" spans="1:9" ht="15.5">
      <c r="A9" s="310" t="s">
        <v>292</v>
      </c>
      <c r="B9" s="311">
        <f>+'Project BS P2 '!D11+'Project BS P2 '!D16</f>
        <v>175</v>
      </c>
      <c r="C9" s="311">
        <f>+'Project BS P2 '!E11+'Project BS P2 '!E16</f>
        <v>650</v>
      </c>
      <c r="D9" s="311">
        <f>+'Project BS P2 '!F11+'Project BS P2 '!F16</f>
        <v>554</v>
      </c>
      <c r="E9" s="311">
        <f>+'Project BS P2 '!G11+'Project BS P2 '!G16</f>
        <v>458</v>
      </c>
      <c r="F9" s="311">
        <f>+'Project BS P2 '!H11+'Project BS P2 '!H16</f>
        <v>326</v>
      </c>
      <c r="G9" s="311">
        <f>+'Project BS P2 '!I11+'Project BS P2 '!I16</f>
        <v>194</v>
      </c>
      <c r="H9" s="311">
        <f>+'Project BS P2 '!J11+'Project BS P2 '!J16</f>
        <v>62</v>
      </c>
      <c r="I9" s="311">
        <f>+'Project BS P2 '!K11+'Project BS P2 '!K16</f>
        <v>0</v>
      </c>
    </row>
    <row r="10" spans="1:9" ht="15.5">
      <c r="A10" s="435" t="s">
        <v>293</v>
      </c>
      <c r="B10" s="437">
        <f t="shared" ref="B10:G10" si="2">+B8/B7</f>
        <v>3.5</v>
      </c>
      <c r="C10" s="437">
        <f t="shared" si="2"/>
        <v>2.3413340240895977</v>
      </c>
      <c r="D10" s="437">
        <f t="shared" si="2"/>
        <v>1.6177446797050072</v>
      </c>
      <c r="E10" s="437">
        <f t="shared" si="2"/>
        <v>1.0953746730299518</v>
      </c>
      <c r="F10" s="437">
        <f t="shared" si="2"/>
        <v>0.69544134955586911</v>
      </c>
      <c r="G10" s="437">
        <f t="shared" si="2"/>
        <v>0.42834152214263144</v>
      </c>
      <c r="H10" s="437">
        <f t="shared" ref="H10:I10" si="3">+H8/H7</f>
        <v>0.23913194072505048</v>
      </c>
      <c r="I10" s="437">
        <f t="shared" si="3"/>
        <v>0.15496109207678893</v>
      </c>
    </row>
    <row r="11" spans="1:9" ht="15.5">
      <c r="A11" s="435" t="s">
        <v>294</v>
      </c>
      <c r="B11" s="438">
        <f t="shared" ref="B11:G11" si="4">+B9/B7</f>
        <v>3.5</v>
      </c>
      <c r="C11" s="438">
        <f t="shared" si="4"/>
        <v>1.9789294509622044</v>
      </c>
      <c r="D11" s="438">
        <f t="shared" si="4"/>
        <v>1.2229393119427592</v>
      </c>
      <c r="E11" s="438">
        <f t="shared" si="4"/>
        <v>0.78597805991624936</v>
      </c>
      <c r="F11" s="438">
        <f t="shared" si="4"/>
        <v>0.44318418850393376</v>
      </c>
      <c r="G11" s="438">
        <f t="shared" si="4"/>
        <v>0.21967767598807753</v>
      </c>
      <c r="H11" s="438">
        <f t="shared" ref="H11:I11" si="5">+H9/H7</f>
        <v>5.8882289363195228E-2</v>
      </c>
      <c r="I11" s="438">
        <f t="shared" si="5"/>
        <v>0</v>
      </c>
    </row>
    <row r="12" spans="1:9" ht="15.5">
      <c r="A12" s="114" t="s">
        <v>295</v>
      </c>
      <c r="B12" s="318">
        <f>+SUM('Project BS P2 '!D26:D29)</f>
        <v>5</v>
      </c>
      <c r="C12" s="318">
        <f>+SUM('Project BS P2 '!E26:E29)</f>
        <v>230.60935572974634</v>
      </c>
      <c r="D12" s="318">
        <f>+SUM('Project BS P2 '!F26:F29)</f>
        <v>378.42390178814804</v>
      </c>
      <c r="E12" s="318">
        <f>+SUM('Project BS P2 '!G26:G29)</f>
        <v>473.02443340439305</v>
      </c>
      <c r="F12" s="318">
        <f>+SUM('Project BS P2 '!H26:H29)</f>
        <v>558.61799975932206</v>
      </c>
      <c r="G12" s="318">
        <f>+SUM('Project BS P2 '!I26:I29)</f>
        <v>632.31500269097046</v>
      </c>
      <c r="H12" s="318">
        <f>+SUM('Project BS P2 '!J26:J29)</f>
        <v>735.12515368705488</v>
      </c>
      <c r="I12" s="318">
        <f>+SUM('Project BS P2 '!K26:K29)</f>
        <v>891.02510047509122</v>
      </c>
    </row>
    <row r="13" spans="1:9" ht="15.5">
      <c r="A13" s="319" t="s">
        <v>296</v>
      </c>
      <c r="B13" s="311">
        <f>+SUM('Project BS P2 '!D14:D17)</f>
        <v>0</v>
      </c>
      <c r="C13" s="311">
        <f>+SUM('Project BS P2 '!E14:E17)</f>
        <v>215.03555855327195</v>
      </c>
      <c r="D13" s="311">
        <f>+SUM('Project BS P2 '!F14:F17)</f>
        <v>274.84957299542833</v>
      </c>
      <c r="E13" s="311">
        <f>+SUM('Project BS P2 '!G14:G17)</f>
        <v>312.28957299542833</v>
      </c>
      <c r="F13" s="311">
        <f>+SUM('Project BS P2 '!H14:H17)</f>
        <v>317.55678798139479</v>
      </c>
      <c r="G13" s="311">
        <f>+SUM('Project BS P2 '!I14:I17)</f>
        <v>316.27355429679824</v>
      </c>
      <c r="H13" s="311">
        <f>+SUM('Project BS P2 '!J14:J17)</f>
        <v>251.793544125007</v>
      </c>
      <c r="I13" s="311">
        <f>+SUM('Project BS P2 '!K14:K17)</f>
        <v>187.99730429679823</v>
      </c>
    </row>
    <row r="14" spans="1:9" ht="15.5">
      <c r="A14" s="439" t="s">
        <v>297</v>
      </c>
      <c r="B14" s="437" t="e">
        <f>+B12/B13</f>
        <v>#DIV/0!</v>
      </c>
      <c r="C14" s="437">
        <f t="shared" ref="C14:G14" si="6">+C12/C13</f>
        <v>1.0724242877840886</v>
      </c>
      <c r="D14" s="437">
        <f t="shared" si="6"/>
        <v>1.3768400571407928</v>
      </c>
      <c r="E14" s="437">
        <f t="shared" si="6"/>
        <v>1.5146981337456238</v>
      </c>
      <c r="F14" s="437">
        <f t="shared" si="6"/>
        <v>1.7591121364788798</v>
      </c>
      <c r="G14" s="437">
        <f t="shared" si="6"/>
        <v>1.9992661229512467</v>
      </c>
      <c r="H14" s="437">
        <f t="shared" ref="H14:I14" si="7">+H12/H13</f>
        <v>2.9195552103674669</v>
      </c>
      <c r="I14" s="437">
        <f t="shared" si="7"/>
        <v>4.7395631751633909</v>
      </c>
    </row>
    <row r="15" spans="1:9" ht="15.5">
      <c r="A15" s="2" t="s">
        <v>123</v>
      </c>
      <c r="B15" s="320">
        <f>+'Project BS P2 '!D6</f>
        <v>50</v>
      </c>
      <c r="C15" s="320">
        <f>+'Project BS P2 '!E6</f>
        <v>120</v>
      </c>
      <c r="D15" s="320">
        <f>+'Project BS P2 '!F6</f>
        <v>120</v>
      </c>
      <c r="E15" s="320">
        <f>+'Project BS P2 '!G6</f>
        <v>120</v>
      </c>
      <c r="F15" s="320">
        <f>+'Project BS P2 '!H6</f>
        <v>120</v>
      </c>
      <c r="G15" s="320">
        <f>+'Project BS P2 '!I6</f>
        <v>120</v>
      </c>
      <c r="H15" s="320">
        <f>+'Project BS P2 '!J6</f>
        <v>120</v>
      </c>
      <c r="I15" s="320">
        <f>+'Project BS P2 '!K6</f>
        <v>120</v>
      </c>
    </row>
    <row r="16" spans="1:9" ht="15.5">
      <c r="A16" s="2" t="s">
        <v>298</v>
      </c>
      <c r="B16" s="320">
        <f>+'Project BS P2 '!D7</f>
        <v>0</v>
      </c>
      <c r="C16" s="320">
        <f>+'Project BS P2 '!E7</f>
        <v>26.711067279341062</v>
      </c>
      <c r="D16" s="320">
        <f>+'Project BS P2 '!F7</f>
        <v>151.25759025105276</v>
      </c>
      <c r="E16" s="320">
        <f>+'Project BS P2 '!G7</f>
        <v>280.96411322276447</v>
      </c>
      <c r="F16" s="320">
        <f>+'Project BS P2 '!H7</f>
        <v>433.83645594719377</v>
      </c>
      <c r="G16" s="320">
        <f>+'Project BS P2 '!I7</f>
        <v>581.36268391890553</v>
      </c>
      <c r="H16" s="320">
        <f>+'Project BS P2 '!J7</f>
        <v>751.19883644224774</v>
      </c>
      <c r="I16" s="320">
        <f>+'Project BS P2 '!K7</f>
        <v>911.44101441395946</v>
      </c>
    </row>
    <row r="17" spans="1:9" ht="15.5">
      <c r="A17" s="2" t="s">
        <v>112</v>
      </c>
      <c r="B17" s="320">
        <f>+'Project BS P2 '!D9</f>
        <v>0</v>
      </c>
      <c r="C17" s="320">
        <f>+'Project BS P2 '!E9</f>
        <v>181.74935342133324</v>
      </c>
      <c r="D17" s="320">
        <f>+'Project BS P2 '!F9</f>
        <v>181.74935342133324</v>
      </c>
      <c r="E17" s="320">
        <f>+'Project BS P2 '!G9</f>
        <v>181.74935342133324</v>
      </c>
      <c r="F17" s="320">
        <f>+'Project BS P2 '!H9</f>
        <v>181.74935342133324</v>
      </c>
      <c r="G17" s="320">
        <f>+'Project BS P2 '!I9</f>
        <v>181.74935342133324</v>
      </c>
      <c r="H17" s="320">
        <f>+'Project BS P2 '!J9</f>
        <v>181.74935342133324</v>
      </c>
      <c r="I17" s="320">
        <f>+'Project BS P2 '!K9</f>
        <v>181.74935342133324</v>
      </c>
    </row>
    <row r="18" spans="1:9" ht="15.5">
      <c r="A18" s="2" t="s">
        <v>299</v>
      </c>
      <c r="B18" s="320">
        <f>(+B15+B16)/2</f>
        <v>25</v>
      </c>
      <c r="C18" s="320">
        <f t="shared" ref="C18:G18" si="8">(+C15+C16)/2</f>
        <v>73.355533639670526</v>
      </c>
      <c r="D18" s="320">
        <f t="shared" si="8"/>
        <v>135.62879512552638</v>
      </c>
      <c r="E18" s="320">
        <f t="shared" si="8"/>
        <v>200.48205661138223</v>
      </c>
      <c r="F18" s="320">
        <f t="shared" si="8"/>
        <v>276.91822797359691</v>
      </c>
      <c r="G18" s="320">
        <f t="shared" si="8"/>
        <v>350.68134195945277</v>
      </c>
      <c r="H18" s="320">
        <f t="shared" ref="H18:I18" si="9">(+H15+H16)/2</f>
        <v>435.59941822112387</v>
      </c>
      <c r="I18" s="320">
        <f t="shared" si="9"/>
        <v>515.72050720697973</v>
      </c>
    </row>
    <row r="19" spans="1:9" ht="15.5">
      <c r="A19" s="2" t="s">
        <v>300</v>
      </c>
      <c r="B19" s="320">
        <f>+MIN(B17:B18)</f>
        <v>0</v>
      </c>
      <c r="C19" s="320">
        <f t="shared" ref="C19:G19" si="10">+MIN(C17:C18)</f>
        <v>73.355533639670526</v>
      </c>
      <c r="D19" s="320">
        <f t="shared" si="10"/>
        <v>135.62879512552638</v>
      </c>
      <c r="E19" s="320">
        <f t="shared" si="10"/>
        <v>181.74935342133324</v>
      </c>
      <c r="F19" s="320">
        <f t="shared" si="10"/>
        <v>181.74935342133324</v>
      </c>
      <c r="G19" s="320">
        <f t="shared" si="10"/>
        <v>181.74935342133324</v>
      </c>
      <c r="H19" s="320">
        <f t="shared" ref="H19:I19" si="11">+MIN(H17:H18)</f>
        <v>181.74935342133324</v>
      </c>
      <c r="I19" s="320">
        <f t="shared" si="11"/>
        <v>181.74935342133324</v>
      </c>
    </row>
    <row r="20" spans="1:9" ht="15.5">
      <c r="A20" s="2" t="s">
        <v>301</v>
      </c>
      <c r="B20" s="320">
        <f>+B17-B19</f>
        <v>0</v>
      </c>
      <c r="C20" s="320">
        <f t="shared" ref="C20:G20" si="12">+C17-C19</f>
        <v>108.39381978166271</v>
      </c>
      <c r="D20" s="320">
        <f t="shared" si="12"/>
        <v>46.120558295806859</v>
      </c>
      <c r="E20" s="320">
        <f t="shared" si="12"/>
        <v>0</v>
      </c>
      <c r="F20" s="320">
        <f t="shared" si="12"/>
        <v>0</v>
      </c>
      <c r="G20" s="320">
        <f t="shared" si="12"/>
        <v>0</v>
      </c>
      <c r="H20" s="320">
        <f t="shared" ref="H20:I20" si="13">+H17-H19</f>
        <v>0</v>
      </c>
      <c r="I20" s="320">
        <f t="shared" si="13"/>
        <v>0</v>
      </c>
    </row>
    <row r="21" spans="1:9" ht="15.5">
      <c r="A21" s="2" t="s">
        <v>302</v>
      </c>
      <c r="B21" s="320">
        <f>+B15+B16+B19</f>
        <v>50</v>
      </c>
      <c r="C21" s="320">
        <f t="shared" ref="C21:G21" si="14">+C15+C16+C19</f>
        <v>220.06660091901159</v>
      </c>
      <c r="D21" s="320">
        <f t="shared" si="14"/>
        <v>406.88638537657914</v>
      </c>
      <c r="E21" s="320">
        <f t="shared" si="14"/>
        <v>582.71346664409771</v>
      </c>
      <c r="F21" s="320">
        <f t="shared" si="14"/>
        <v>735.58580936852707</v>
      </c>
      <c r="G21" s="320">
        <f t="shared" si="14"/>
        <v>883.11203734023877</v>
      </c>
      <c r="H21" s="320">
        <f t="shared" ref="H21:I21" si="15">+H15+H16+H19</f>
        <v>1052.9481898635809</v>
      </c>
      <c r="I21" s="320">
        <f t="shared" si="15"/>
        <v>1213.1903678352928</v>
      </c>
    </row>
    <row r="22" spans="1:9" ht="15.5">
      <c r="A22" s="2" t="s">
        <v>303</v>
      </c>
      <c r="B22" s="320">
        <f>+'Project BS P2 '!D14+'Project BS P2 '!D15+'Project BS P2 '!D16+'Project BS P2 '!D17+B20</f>
        <v>0</v>
      </c>
      <c r="C22" s="320">
        <f>+'Project BS P2 '!E14+'Project BS P2 '!E15+'Project BS P2 '!E16+'Project BS P2 '!E17+C20</f>
        <v>323.42937833493465</v>
      </c>
      <c r="D22" s="320">
        <f>+'Project BS P2 '!F14+'Project BS P2 '!F15+'Project BS P2 '!F16+'Project BS P2 '!F17+D20</f>
        <v>320.97013129123519</v>
      </c>
      <c r="E22" s="320">
        <f>+'Project BS P2 '!G14+'Project BS P2 '!G15+'Project BS P2 '!G16+'Project BS P2 '!G17+E20</f>
        <v>312.28957299542833</v>
      </c>
      <c r="F22" s="320">
        <f>+'Project BS P2 '!H14+'Project BS P2 '!H15+'Project BS P2 '!H16+'Project BS P2 '!H17+F20</f>
        <v>317.55678798139479</v>
      </c>
      <c r="G22" s="320">
        <f>+'Project BS P2 '!I14+'Project BS P2 '!I15+'Project BS P2 '!I16+'Project BS P2 '!I17+G20</f>
        <v>316.27355429679824</v>
      </c>
      <c r="H22" s="320">
        <f>+'Project BS P2 '!J14+'Project BS P2 '!J15+'Project BS P2 '!J16+'Project BS P2 '!J17+H20</f>
        <v>251.793544125007</v>
      </c>
      <c r="I22" s="320">
        <f>+'Project BS P2 '!K14+'Project BS P2 '!K15+'Project BS P2 '!K16+'Project BS P2 '!K17+I20</f>
        <v>187.99730429679823</v>
      </c>
    </row>
    <row r="23" spans="1:9" ht="15.5">
      <c r="A23" s="435" t="s">
        <v>304</v>
      </c>
      <c r="B23" s="437">
        <f>+B22/B21</f>
        <v>0</v>
      </c>
      <c r="C23" s="437">
        <f t="shared" ref="C23:G23" si="16">+C22/C21</f>
        <v>1.4696886169199406</v>
      </c>
      <c r="D23" s="437">
        <f t="shared" si="16"/>
        <v>0.78884460829077085</v>
      </c>
      <c r="E23" s="437">
        <f t="shared" si="16"/>
        <v>0.53592304086249065</v>
      </c>
      <c r="F23" s="437">
        <f t="shared" si="16"/>
        <v>0.43170597357500062</v>
      </c>
      <c r="G23" s="437">
        <f t="shared" si="16"/>
        <v>0.35813525455881284</v>
      </c>
      <c r="H23" s="437">
        <f t="shared" ref="H23:I23" si="17">+H22/H21</f>
        <v>0.23913194072505048</v>
      </c>
      <c r="I23" s="437">
        <f t="shared" si="17"/>
        <v>0.15496109207678893</v>
      </c>
    </row>
    <row r="24" spans="1:9" ht="15.5">
      <c r="A24" s="2" t="s">
        <v>292</v>
      </c>
      <c r="B24" s="320">
        <f t="shared" ref="B24:G24" si="18">+B9</f>
        <v>175</v>
      </c>
      <c r="C24" s="320">
        <f t="shared" si="18"/>
        <v>650</v>
      </c>
      <c r="D24" s="320">
        <f t="shared" si="18"/>
        <v>554</v>
      </c>
      <c r="E24" s="320">
        <f t="shared" si="18"/>
        <v>458</v>
      </c>
      <c r="F24" s="320">
        <f t="shared" si="18"/>
        <v>326</v>
      </c>
      <c r="G24" s="320">
        <f t="shared" si="18"/>
        <v>194</v>
      </c>
      <c r="H24" s="320">
        <f t="shared" ref="H24:I24" si="19">+H9</f>
        <v>62</v>
      </c>
      <c r="I24" s="320">
        <f t="shared" si="19"/>
        <v>0</v>
      </c>
    </row>
    <row r="25" spans="1:9" ht="15.5">
      <c r="A25" s="2" t="s">
        <v>302</v>
      </c>
      <c r="B25" s="320">
        <f>+B21</f>
        <v>50</v>
      </c>
      <c r="C25" s="320">
        <f t="shared" ref="C25:G25" si="20">+C21</f>
        <v>220.06660091901159</v>
      </c>
      <c r="D25" s="320">
        <f t="shared" si="20"/>
        <v>406.88638537657914</v>
      </c>
      <c r="E25" s="320">
        <f t="shared" si="20"/>
        <v>582.71346664409771</v>
      </c>
      <c r="F25" s="320">
        <f t="shared" si="20"/>
        <v>735.58580936852707</v>
      </c>
      <c r="G25" s="320">
        <f t="shared" si="20"/>
        <v>883.11203734023877</v>
      </c>
      <c r="H25" s="320">
        <f t="shared" ref="H25:I25" si="21">+H21</f>
        <v>1052.9481898635809</v>
      </c>
      <c r="I25" s="320">
        <f t="shared" si="21"/>
        <v>1213.1903678352928</v>
      </c>
    </row>
    <row r="26" spans="1:9" ht="15.5">
      <c r="A26" s="435" t="s">
        <v>294</v>
      </c>
      <c r="B26" s="438">
        <f>+B24/B25</f>
        <v>3.5</v>
      </c>
      <c r="C26" s="438">
        <f t="shared" ref="C26:G26" si="22">+C24/C25</f>
        <v>2.953651291407057</v>
      </c>
      <c r="D26" s="438">
        <f t="shared" si="22"/>
        <v>1.3615594424160078</v>
      </c>
      <c r="E26" s="438">
        <f t="shared" si="22"/>
        <v>0.78597805991624936</v>
      </c>
      <c r="F26" s="438">
        <f t="shared" si="22"/>
        <v>0.44318418850393376</v>
      </c>
      <c r="G26" s="438">
        <f t="shared" si="22"/>
        <v>0.21967767598807753</v>
      </c>
      <c r="H26" s="438">
        <f t="shared" ref="H26:I26" si="23">+H24/H25</f>
        <v>5.8882289363195228E-2</v>
      </c>
      <c r="I26" s="438">
        <f t="shared" si="23"/>
        <v>0</v>
      </c>
    </row>
  </sheetData>
  <mergeCells count="2">
    <mergeCell ref="A1:I1"/>
    <mergeCell ref="A2:I2"/>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51"/>
  <sheetViews>
    <sheetView showGridLines="0" view="pageBreakPreview" topLeftCell="A10" zoomScale="98" zoomScaleSheetLayoutView="98" workbookViewId="0">
      <selection activeCell="J38" sqref="J38"/>
    </sheetView>
  </sheetViews>
  <sheetFormatPr defaultColWidth="9.1796875" defaultRowHeight="15.5"/>
  <cols>
    <col min="1" max="1" width="38.7265625" style="1" bestFit="1" customWidth="1"/>
    <col min="2" max="11" width="12.7265625" style="1" customWidth="1"/>
    <col min="12" max="16384" width="9.1796875" style="1"/>
  </cols>
  <sheetData>
    <row r="1" spans="1:14" ht="25.5">
      <c r="A1" s="591" t="s">
        <v>378</v>
      </c>
      <c r="B1" s="591"/>
      <c r="C1" s="591"/>
      <c r="D1" s="591"/>
      <c r="E1" s="591"/>
      <c r="F1" s="591"/>
      <c r="G1" s="591"/>
      <c r="H1" s="591"/>
      <c r="I1" s="591"/>
    </row>
    <row r="2" spans="1:14">
      <c r="A2" s="620" t="s">
        <v>102</v>
      </c>
      <c r="B2" s="621"/>
      <c r="C2" s="621"/>
      <c r="D2" s="621"/>
      <c r="E2" s="621"/>
      <c r="F2" s="621"/>
      <c r="G2" s="621"/>
      <c r="H2" s="621"/>
      <c r="I2" s="621"/>
      <c r="J2" s="621"/>
      <c r="K2" s="621"/>
    </row>
    <row r="3" spans="1:14">
      <c r="A3" s="100"/>
      <c r="B3" s="101" t="s">
        <v>332</v>
      </c>
      <c r="C3" s="101" t="s">
        <v>332</v>
      </c>
      <c r="D3" s="101" t="s">
        <v>39</v>
      </c>
      <c r="E3" s="101" t="s">
        <v>39</v>
      </c>
      <c r="F3" s="101" t="s">
        <v>39</v>
      </c>
      <c r="G3" s="101" t="s">
        <v>39</v>
      </c>
      <c r="H3" s="101" t="s">
        <v>39</v>
      </c>
      <c r="I3" s="101" t="s">
        <v>39</v>
      </c>
      <c r="J3" s="101" t="s">
        <v>39</v>
      </c>
      <c r="K3" s="101" t="s">
        <v>39</v>
      </c>
    </row>
    <row r="4" spans="1:14">
      <c r="A4" s="102" t="s">
        <v>1</v>
      </c>
      <c r="B4" s="103">
        <v>44651</v>
      </c>
      <c r="C4" s="103">
        <v>45016</v>
      </c>
      <c r="D4" s="103">
        <v>45382</v>
      </c>
      <c r="E4" s="103">
        <v>45747</v>
      </c>
      <c r="F4" s="103">
        <v>46112</v>
      </c>
      <c r="G4" s="103">
        <v>46477</v>
      </c>
      <c r="H4" s="103">
        <v>46843</v>
      </c>
      <c r="I4" s="103">
        <v>47208</v>
      </c>
      <c r="J4" s="103">
        <v>47573</v>
      </c>
      <c r="K4" s="103">
        <v>47938</v>
      </c>
    </row>
    <row r="5" spans="1:14" ht="18.5">
      <c r="A5" s="104" t="s">
        <v>68</v>
      </c>
      <c r="B5" s="105"/>
      <c r="C5" s="105"/>
      <c r="D5" s="105"/>
      <c r="E5" s="105"/>
      <c r="F5" s="105"/>
      <c r="G5" s="105"/>
      <c r="H5" s="105"/>
      <c r="I5" s="105"/>
      <c r="J5" s="105"/>
      <c r="K5" s="105"/>
    </row>
    <row r="6" spans="1:14" ht="17">
      <c r="A6" s="106" t="s">
        <v>123</v>
      </c>
      <c r="B6" s="107">
        <v>1</v>
      </c>
      <c r="C6" s="107">
        <v>1</v>
      </c>
      <c r="D6" s="107">
        <v>185</v>
      </c>
      <c r="E6" s="107">
        <v>185</v>
      </c>
      <c r="F6" s="107">
        <v>185</v>
      </c>
      <c r="G6" s="107">
        <v>185</v>
      </c>
      <c r="H6" s="107">
        <v>185</v>
      </c>
      <c r="I6" s="107">
        <v>185</v>
      </c>
      <c r="J6" s="107">
        <v>185</v>
      </c>
      <c r="K6" s="107">
        <v>185</v>
      </c>
    </row>
    <row r="7" spans="1:14" ht="17">
      <c r="A7" s="106" t="s">
        <v>124</v>
      </c>
      <c r="B7" s="107">
        <f>+B38</f>
        <v>-1.89</v>
      </c>
      <c r="C7" s="107">
        <f t="shared" ref="C7:I7" si="0">+C38</f>
        <v>-0.92000000000005078</v>
      </c>
      <c r="D7" s="107">
        <f t="shared" si="0"/>
        <v>42.059547531829956</v>
      </c>
      <c r="E7" s="107">
        <f t="shared" si="0"/>
        <v>95.596446273544899</v>
      </c>
      <c r="F7" s="107">
        <f t="shared" si="0"/>
        <v>205.30343430097415</v>
      </c>
      <c r="G7" s="107">
        <f t="shared" si="0"/>
        <v>341.31616375697479</v>
      </c>
      <c r="H7" s="107">
        <f t="shared" si="0"/>
        <v>490.95649867997889</v>
      </c>
      <c r="I7" s="107">
        <f t="shared" si="0"/>
        <v>645.02220956455108</v>
      </c>
      <c r="J7" s="107">
        <f t="shared" ref="J7:K7" si="1">+J38</f>
        <v>816.5710592864682</v>
      </c>
      <c r="K7" s="107">
        <f t="shared" si="1"/>
        <v>968.9998630281832</v>
      </c>
    </row>
    <row r="8" spans="1:14" ht="17">
      <c r="A8" s="106" t="s">
        <v>125</v>
      </c>
      <c r="B8" s="107">
        <v>157.5</v>
      </c>
      <c r="C8" s="107">
        <v>317</v>
      </c>
      <c r="D8" s="107">
        <v>180</v>
      </c>
      <c r="E8" s="107">
        <v>180</v>
      </c>
      <c r="F8" s="107">
        <v>180</v>
      </c>
      <c r="G8" s="107">
        <v>180</v>
      </c>
      <c r="H8" s="107">
        <v>180</v>
      </c>
      <c r="I8" s="107">
        <v>180</v>
      </c>
      <c r="J8" s="107">
        <v>180</v>
      </c>
      <c r="K8" s="107">
        <v>180</v>
      </c>
    </row>
    <row r="9" spans="1:14" ht="17">
      <c r="A9" s="106" t="s">
        <v>351</v>
      </c>
      <c r="B9" s="107">
        <v>0</v>
      </c>
      <c r="C9" s="107">
        <v>4.4000000000000004</v>
      </c>
      <c r="D9" s="107">
        <v>4.4000000000000004</v>
      </c>
      <c r="E9" s="107">
        <f>4.4+20</f>
        <v>24.4</v>
      </c>
      <c r="F9" s="107">
        <f t="shared" ref="F9:K9" si="2">4.4+20</f>
        <v>24.4</v>
      </c>
      <c r="G9" s="107">
        <f t="shared" si="2"/>
        <v>24.4</v>
      </c>
      <c r="H9" s="107">
        <f t="shared" si="2"/>
        <v>24.4</v>
      </c>
      <c r="I9" s="107">
        <f t="shared" si="2"/>
        <v>24.4</v>
      </c>
      <c r="J9" s="107">
        <f t="shared" si="2"/>
        <v>24.4</v>
      </c>
      <c r="K9" s="107">
        <f t="shared" si="2"/>
        <v>24.4</v>
      </c>
    </row>
    <row r="10" spans="1:14" ht="17">
      <c r="A10" s="106" t="s">
        <v>232</v>
      </c>
      <c r="B10" s="107">
        <f>+'TL 1 '!H43-B15</f>
        <v>0</v>
      </c>
      <c r="C10" s="107">
        <f>438.64+4.5</f>
        <v>443.14</v>
      </c>
      <c r="D10" s="107">
        <f>+'TL 1 '!H71-D15</f>
        <v>405</v>
      </c>
      <c r="E10" s="107">
        <f>+'TL 1 '!H85-E15</f>
        <v>325.92857142857144</v>
      </c>
      <c r="F10" s="107">
        <f>+'TL 1 '!H99-F15</f>
        <v>225.64285714285717</v>
      </c>
      <c r="G10" s="107">
        <f>+'TL 1 '!H113-G15</f>
        <v>125.35714285714307</v>
      </c>
      <c r="H10" s="107">
        <f>+'TL 1 '!H127-H15</f>
        <v>25.07142857142874</v>
      </c>
      <c r="I10" s="107">
        <f>+'TL 1 '!H141-I15</f>
        <v>1.5631940186722204E-13</v>
      </c>
      <c r="J10" s="107">
        <f>+'TL 1 '!I141-J15</f>
        <v>0</v>
      </c>
      <c r="K10" s="107">
        <f>+'TL 1 '!J141-K15</f>
        <v>0</v>
      </c>
    </row>
    <row r="11" spans="1:14" ht="18.5">
      <c r="A11" s="104" t="s">
        <v>69</v>
      </c>
      <c r="B11" s="107"/>
      <c r="C11" s="107"/>
      <c r="D11" s="107"/>
      <c r="E11" s="107"/>
      <c r="F11" s="107"/>
      <c r="G11" s="107"/>
      <c r="H11" s="107"/>
      <c r="I11" s="107"/>
      <c r="J11" s="107"/>
      <c r="K11" s="107"/>
    </row>
    <row r="12" spans="1:14" ht="17">
      <c r="A12" s="106"/>
      <c r="B12" s="107"/>
      <c r="C12" s="107"/>
      <c r="D12" s="107"/>
      <c r="E12" s="107"/>
      <c r="F12" s="107"/>
      <c r="G12" s="107"/>
      <c r="H12" s="107"/>
      <c r="I12" s="107"/>
      <c r="J12" s="107"/>
      <c r="K12" s="107"/>
    </row>
    <row r="13" spans="1:14" ht="17">
      <c r="A13" s="106" t="s">
        <v>128</v>
      </c>
      <c r="B13" s="107">
        <v>0</v>
      </c>
      <c r="C13" s="107">
        <v>42.31</v>
      </c>
      <c r="D13" s="107">
        <v>130</v>
      </c>
      <c r="E13" s="107">
        <v>130</v>
      </c>
      <c r="F13" s="107">
        <v>130</v>
      </c>
      <c r="G13" s="107">
        <v>130</v>
      </c>
      <c r="H13" s="107">
        <v>130</v>
      </c>
      <c r="I13" s="107">
        <v>130</v>
      </c>
      <c r="J13" s="107">
        <v>130</v>
      </c>
      <c r="K13" s="107">
        <v>130</v>
      </c>
    </row>
    <row r="14" spans="1:14" ht="17">
      <c r="A14" s="106" t="s">
        <v>70</v>
      </c>
      <c r="B14" s="107">
        <v>0</v>
      </c>
      <c r="C14" s="107">
        <v>29.42</v>
      </c>
      <c r="D14" s="107">
        <f>+SUM('Production, Revenue &amp; Profit'!F225:F229)/365*30</f>
        <v>32.275845384157236</v>
      </c>
      <c r="E14" s="107">
        <f>+SUM('Production, Revenue &amp; Profit'!G225:G229)/365*30</f>
        <v>51.960270875521154</v>
      </c>
      <c r="F14" s="107">
        <f>+SUM('Production, Revenue &amp; Profit'!H225:H229)/365*30</f>
        <v>51.960270875521154</v>
      </c>
      <c r="G14" s="107">
        <f>+SUM('Production, Revenue &amp; Profit'!I225:I229)/365*30</f>
        <v>52.343884574151282</v>
      </c>
      <c r="H14" s="107">
        <f>+SUM('Production, Revenue &amp; Profit'!J225:J229)/365*30</f>
        <v>52.940660780226324</v>
      </c>
      <c r="I14" s="107">
        <f>+SUM('Production, Revenue &amp; Profit'!K225:K229)/365*30</f>
        <v>51.576657176891004</v>
      </c>
      <c r="J14" s="107">
        <f>+SUM('Production, Revenue &amp; Profit'!L225:L229)/365*30</f>
        <v>52.454954437164986</v>
      </c>
      <c r="K14" s="107">
        <f>+SUM('Production, Revenue &amp; Profit'!M225:M229)/365*30</f>
        <v>51.576657176891004</v>
      </c>
    </row>
    <row r="15" spans="1:14" ht="17">
      <c r="A15" s="106" t="s">
        <v>71</v>
      </c>
      <c r="B15" s="107">
        <v>0</v>
      </c>
      <c r="C15" s="107">
        <v>18</v>
      </c>
      <c r="D15" s="107">
        <f>+'Project PL '!E31</f>
        <v>72</v>
      </c>
      <c r="E15" s="107">
        <f>+'Project PL '!F31</f>
        <v>79.071428571428584</v>
      </c>
      <c r="F15" s="107">
        <f>+'Project PL '!G31</f>
        <v>100.28571428571432</v>
      </c>
      <c r="G15" s="107">
        <f>+'Project PL '!H31</f>
        <v>100.28571428571432</v>
      </c>
      <c r="H15" s="107">
        <f>+'Project PL '!I31</f>
        <v>100.28571428571432</v>
      </c>
      <c r="I15" s="107">
        <f>+'Project PL '!J31</f>
        <v>25.071428571428573</v>
      </c>
      <c r="J15" s="107">
        <f>+'TL 1 '!H156</f>
        <v>0</v>
      </c>
      <c r="K15" s="107">
        <f>+'TL 1 '!I156</f>
        <v>0</v>
      </c>
      <c r="N15" s="1">
        <f>327/284</f>
        <v>1.1514084507042253</v>
      </c>
    </row>
    <row r="16" spans="1:14" ht="17">
      <c r="A16" s="106" t="s">
        <v>350</v>
      </c>
      <c r="B16" s="107">
        <v>11.7</v>
      </c>
      <c r="C16" s="107">
        <v>55.84</v>
      </c>
      <c r="D16" s="107">
        <f>+'Project PL '!D26</f>
        <v>7.5846260350288244</v>
      </c>
      <c r="E16" s="107">
        <f>+'Project PL '!E26-20</f>
        <v>3.5653350720673416</v>
      </c>
      <c r="F16" s="107">
        <f>(+'Project PL '!F26)+-19.9999999999998</f>
        <v>4.6541743577818266</v>
      </c>
      <c r="G16" s="107">
        <f>(+'Project PL '!G26)+-20</f>
        <v>9.8257757863530593</v>
      </c>
      <c r="H16" s="107">
        <f>(+'Project PL '!H26)+-20</f>
        <v>12.813000280530133</v>
      </c>
      <c r="I16" s="107">
        <f>(+'Project PL '!I26)+-20.0000000000002</f>
        <v>14.234537214924288</v>
      </c>
      <c r="J16" s="107">
        <f>(+'Project PL '!J26)+-20.0000000000002</f>
        <v>18.024444068573395</v>
      </c>
      <c r="K16" s="107">
        <f>(+'Project PL '!K26)+-20.0000000000002</f>
        <v>15.425430072067151</v>
      </c>
      <c r="L16" s="1">
        <v>-20</v>
      </c>
      <c r="M16" s="1">
        <v>-20</v>
      </c>
      <c r="N16" s="1">
        <v>-20.000000000000227</v>
      </c>
    </row>
    <row r="17" spans="1:19">
      <c r="A17" s="151" t="s">
        <v>103</v>
      </c>
      <c r="B17" s="109"/>
      <c r="C17" s="109"/>
      <c r="D17" s="109"/>
      <c r="E17" s="109"/>
      <c r="F17" s="109"/>
      <c r="G17" s="109"/>
      <c r="H17" s="109"/>
      <c r="I17" s="109"/>
      <c r="J17" s="109"/>
      <c r="K17" s="109"/>
    </row>
    <row r="18" spans="1:19">
      <c r="A18" s="102" t="s">
        <v>72</v>
      </c>
      <c r="B18" s="110">
        <f t="shared" ref="B18:I18" si="3">SUM(B6:B16)</f>
        <v>168.31</v>
      </c>
      <c r="C18" s="110">
        <f t="shared" si="3"/>
        <v>910.18999999999983</v>
      </c>
      <c r="D18" s="110">
        <f t="shared" si="3"/>
        <v>1058.320018951016</v>
      </c>
      <c r="E18" s="110">
        <f t="shared" si="3"/>
        <v>1075.5220522211334</v>
      </c>
      <c r="F18" s="110">
        <f t="shared" si="3"/>
        <v>1107.2464509628485</v>
      </c>
      <c r="G18" s="110">
        <f t="shared" si="3"/>
        <v>1148.5286812603365</v>
      </c>
      <c r="H18" s="110">
        <f t="shared" ref="H18" si="4">SUM(H6:H16)</f>
        <v>1201.4673025978784</v>
      </c>
      <c r="I18" s="110">
        <f t="shared" si="3"/>
        <v>1255.3048325277955</v>
      </c>
      <c r="J18" s="110">
        <f t="shared" ref="J18:K18" si="5">SUM(J6:J16)</f>
        <v>1406.4504577922066</v>
      </c>
      <c r="K18" s="110">
        <f t="shared" si="5"/>
        <v>1555.4019502771416</v>
      </c>
    </row>
    <row r="19" spans="1:19" ht="18.5">
      <c r="A19" s="104" t="s">
        <v>73</v>
      </c>
      <c r="B19" s="109"/>
      <c r="C19" s="109"/>
      <c r="D19" s="109"/>
      <c r="E19" s="109"/>
      <c r="F19" s="109"/>
      <c r="G19" s="109"/>
      <c r="H19" s="109"/>
      <c r="I19" s="109"/>
      <c r="J19" s="109"/>
      <c r="K19" s="109"/>
    </row>
    <row r="20" spans="1:19" ht="17">
      <c r="A20" s="106" t="s">
        <v>74</v>
      </c>
      <c r="B20" s="107">
        <f>+'Depreciation Chart - Eco Green'!E17</f>
        <v>165.07</v>
      </c>
      <c r="C20" s="107">
        <f>+'Depreciation Chart - Eco Green'!E30</f>
        <v>584.13</v>
      </c>
      <c r="D20" s="107">
        <f>+'Depreciation Chart - Eco Green'!E43</f>
        <v>804.13</v>
      </c>
      <c r="E20" s="107">
        <f>+'Depreciation Chart - Eco Green'!E56</f>
        <v>804.13</v>
      </c>
      <c r="F20" s="107">
        <f>+'Depreciation Chart - Eco Green'!E69</f>
        <v>804.13</v>
      </c>
      <c r="G20" s="107">
        <f>+'Depreciation Chart - Eco Green'!E82</f>
        <v>804.13</v>
      </c>
      <c r="H20" s="107">
        <f>+'Depreciation Chart - Eco Green'!E95</f>
        <v>804.13</v>
      </c>
      <c r="I20" s="107">
        <f>+'Depreciation Chart - Eco Green'!E108</f>
        <v>804.13</v>
      </c>
      <c r="J20" s="107">
        <f>+'Depreciation Chart - Eco Green'!E121</f>
        <v>804.13</v>
      </c>
      <c r="K20" s="107">
        <f>+'Depreciation Chart - Eco Green'!E134</f>
        <v>804.13</v>
      </c>
      <c r="L20" s="108"/>
    </row>
    <row r="21" spans="1:19" ht="17">
      <c r="A21" s="106" t="s">
        <v>75</v>
      </c>
      <c r="B21" s="111">
        <f>+'Depreciation Chart - Eco Green'!I17</f>
        <v>0</v>
      </c>
      <c r="C21" s="111">
        <f>-'Depreciation Chart - Eco Green'!I30</f>
        <v>-5.35</v>
      </c>
      <c r="D21" s="111">
        <f>-'Depreciation Chart - Eco Green'!I43</f>
        <v>-35.673935215749999</v>
      </c>
      <c r="E21" s="111">
        <f>-'Depreciation Chart - Eco Green'!I56</f>
        <v>-76.105848836749999</v>
      </c>
      <c r="F21" s="111">
        <f>-'Depreciation Chart - Eco Green'!I69</f>
        <v>-116.53776245775001</v>
      </c>
      <c r="G21" s="111">
        <f>-'Depreciation Chart - Eco Green'!I82</f>
        <v>-156.96967607875001</v>
      </c>
      <c r="H21" s="111">
        <f>-'Depreciation Chart - Eco Green'!I95</f>
        <v>-197.40158969974996</v>
      </c>
      <c r="I21" s="111">
        <f>-'Depreciation Chart - Eco Green'!I108</f>
        <v>-237.83350332075</v>
      </c>
      <c r="J21" s="111">
        <f>-'Depreciation Chart - Eco Green'!I121</f>
        <v>-278.26541694174995</v>
      </c>
      <c r="K21" s="111">
        <f>-'Depreciation Chart - Eco Green'!I134</f>
        <v>-318.69733056274998</v>
      </c>
    </row>
    <row r="22" spans="1:19" ht="17">
      <c r="A22" s="106" t="s">
        <v>76</v>
      </c>
      <c r="B22" s="107">
        <f t="shared" ref="B22:I22" si="6">+B20+B21</f>
        <v>165.07</v>
      </c>
      <c r="C22" s="107">
        <f t="shared" si="6"/>
        <v>578.78</v>
      </c>
      <c r="D22" s="107">
        <f t="shared" si="6"/>
        <v>768.45606478424997</v>
      </c>
      <c r="E22" s="107">
        <f t="shared" si="6"/>
        <v>728.02415116325005</v>
      </c>
      <c r="F22" s="107">
        <f t="shared" si="6"/>
        <v>687.59223754225002</v>
      </c>
      <c r="G22" s="107">
        <f t="shared" si="6"/>
        <v>647.16032392124998</v>
      </c>
      <c r="H22" s="107">
        <f t="shared" ref="H22" si="7">+H20+H21</f>
        <v>606.72841030025006</v>
      </c>
      <c r="I22" s="107">
        <f t="shared" si="6"/>
        <v>566.29649667925003</v>
      </c>
      <c r="J22" s="107">
        <f t="shared" ref="J22:K22" si="8">+J20+J21</f>
        <v>525.86458305824999</v>
      </c>
      <c r="K22" s="107">
        <f t="shared" si="8"/>
        <v>485.43266943725001</v>
      </c>
    </row>
    <row r="23" spans="1:19" ht="17">
      <c r="A23" s="106" t="s">
        <v>77</v>
      </c>
      <c r="B23" s="107">
        <v>0</v>
      </c>
      <c r="C23" s="107">
        <v>0</v>
      </c>
      <c r="D23" s="107">
        <v>0</v>
      </c>
      <c r="E23" s="107">
        <v>0</v>
      </c>
      <c r="F23" s="107">
        <v>0</v>
      </c>
      <c r="G23" s="107">
        <v>0</v>
      </c>
      <c r="H23" s="107">
        <v>0</v>
      </c>
      <c r="I23" s="107">
        <v>0</v>
      </c>
      <c r="J23" s="107">
        <v>0</v>
      </c>
      <c r="K23" s="107">
        <v>0</v>
      </c>
    </row>
    <row r="24" spans="1:19" ht="18.5">
      <c r="A24" s="104" t="s">
        <v>78</v>
      </c>
      <c r="B24" s="107"/>
      <c r="C24" s="107"/>
      <c r="D24" s="107"/>
      <c r="E24" s="107"/>
      <c r="F24" s="107"/>
      <c r="G24" s="107"/>
      <c r="H24" s="107"/>
      <c r="I24" s="107"/>
      <c r="J24" s="107"/>
      <c r="K24" s="107"/>
    </row>
    <row r="25" spans="1:19" ht="17">
      <c r="A25" s="106" t="s">
        <v>222</v>
      </c>
      <c r="B25" s="107">
        <v>0</v>
      </c>
      <c r="C25" s="107">
        <f>-'Production, Revenue &amp; Profit'!$E$237</f>
        <v>165.03</v>
      </c>
      <c r="D25" s="107">
        <f>+C25-'Production, Revenue &amp; Profit'!F237</f>
        <v>245.03</v>
      </c>
      <c r="E25" s="107">
        <f>+D25-'Production, Revenue &amp; Profit'!G237</f>
        <v>245.03</v>
      </c>
      <c r="F25" s="107">
        <f>+E25-'Production, Revenue &amp; Profit'!H237</f>
        <v>245.03</v>
      </c>
      <c r="G25" s="107">
        <f>+F25-'Production, Revenue &amp; Profit'!I237</f>
        <v>275.02999999999997</v>
      </c>
      <c r="H25" s="107">
        <f>+G25-'Production, Revenue &amp; Profit'!J237</f>
        <v>295.02999999999997</v>
      </c>
      <c r="I25" s="107">
        <f>+H25-'Production, Revenue &amp; Profit'!K237</f>
        <v>325.02999999999997</v>
      </c>
      <c r="J25" s="107">
        <f>+I25-'Production, Revenue &amp; Profit'!L237</f>
        <v>355.03</v>
      </c>
      <c r="K25" s="107">
        <f>+J25-'Production, Revenue &amp; Profit'!M237</f>
        <v>385.03</v>
      </c>
      <c r="L25" s="308"/>
      <c r="M25" s="308"/>
      <c r="N25" s="308"/>
      <c r="O25" s="308"/>
      <c r="P25" s="308"/>
      <c r="Q25" s="308"/>
    </row>
    <row r="26" spans="1:19" ht="17">
      <c r="A26" s="106" t="s">
        <v>99</v>
      </c>
      <c r="B26" s="107">
        <v>0</v>
      </c>
      <c r="C26" s="107">
        <v>14.95</v>
      </c>
      <c r="D26" s="107">
        <f>+'Project PL '!D8/300*15</f>
        <v>34.36668054347826</v>
      </c>
      <c r="E26" s="107">
        <f>+'Project PL '!E8/300*15</f>
        <v>62.797247663043464</v>
      </c>
      <c r="F26" s="107">
        <f>+'Project PL '!F8/300*15</f>
        <v>62.797247663043464</v>
      </c>
      <c r="G26" s="107">
        <f>+'Project PL '!G8/300*15</f>
        <v>62.797247663043464</v>
      </c>
      <c r="H26" s="107">
        <f>+'Project PL '!H8/300*15</f>
        <v>64.218776019021732</v>
      </c>
      <c r="I26" s="107">
        <f>+'Project PL '!I8/300*15</f>
        <v>62.797247663043464</v>
      </c>
      <c r="J26" s="107">
        <f>+'Project PL '!J8/300*15</f>
        <v>64.218776019021732</v>
      </c>
      <c r="K26" s="107">
        <f>+'Project PL '!K8/300*15</f>
        <v>62.797247663043464</v>
      </c>
    </row>
    <row r="27" spans="1:19" ht="17">
      <c r="A27" s="106" t="s">
        <v>229</v>
      </c>
      <c r="B27" s="107">
        <v>0.39</v>
      </c>
      <c r="C27" s="107">
        <v>36.33</v>
      </c>
      <c r="D27" s="107">
        <v>5</v>
      </c>
      <c r="E27" s="107">
        <v>10</v>
      </c>
      <c r="F27" s="107">
        <v>10</v>
      </c>
      <c r="G27" s="107">
        <v>100</v>
      </c>
      <c r="H27" s="107">
        <v>150</v>
      </c>
      <c r="I27" s="107">
        <v>200</v>
      </c>
      <c r="J27" s="107">
        <v>300</v>
      </c>
      <c r="K27" s="107">
        <v>350</v>
      </c>
    </row>
    <row r="28" spans="1:19" ht="17">
      <c r="A28" s="106" t="s">
        <v>79</v>
      </c>
      <c r="B28" s="107">
        <v>2.85</v>
      </c>
      <c r="C28" s="107">
        <v>115.1</v>
      </c>
      <c r="D28" s="107">
        <v>5.4672736232878378</v>
      </c>
      <c r="E28" s="107">
        <v>29.67065339483986</v>
      </c>
      <c r="F28" s="107">
        <v>101.82696575755494</v>
      </c>
      <c r="G28" s="107">
        <f>((((((((((((((((((((((((((((((((((((((((((((((((((((((((((((((((((217.617735191193-195)--470.364419476087)-50)-126.444932843479)-6.29271170378024)--85.4701285897479)--14.5901760453064)-94.8257121396421)--462.13681185801)-301.927325)-160)-0.609615858540565)--35)-161.512528965551)-238.125458630241)--116.025)-40)--100)-66.1320234375)--40)--22.3919332839075)-8.07582126706347)--2.36500000000001)-74.9999999999998)--66.5499999999997)--25)--0.556418686190909)--1.55205000000001)-2.27725000000055)--8.38816614538109)--16.2624358695653)-7.51727120698501)--0.0284999984999104)-0.0100000000002183)--0.017733540890049)-0.0073374999999487)--0.0200000000002092)-0.0200000000002092)--126.713103800863)--9.66666666666674)-50.0000000000002)-208.139759927826)--44.7707961594201)--25)--7.69250000000034)-2.30750000000012)--0.00999999999976353)-91.9112649184781)--100)-10)-0.00985750003019348)--73.0660838961901)-75)-112.912644744453)--283.844905115942)-70.5999999999999)--18.54925)-45.9415805029068)--4.99999999999977)-19.5615410958906)-23.9019999999998)--6.11149999999998)--30.0466849315069)--62.7972476630434)-100)--20)-90</f>
        <v>63.541109676043192</v>
      </c>
      <c r="H28" s="107">
        <f>((((((((((((((((((((((((((((((((((((((((((((((((((((((((((((((((((((((356.992878766989-330)--391.522092677575)-50)-126.444932843479)-6.37683789041625)--71.3701694399015)--13.0012223004351)-94.8257121396418)--446.218376591574)-301.927325)-235)-1.77078892242616)--35)-181.322389651369)--100)-198.447273288606)--119.3525)-40)--100)-66.1320234375)--40)--27.9732346196607)-32.828377652736)--2.36500000000024)-75.0000000000002)--67.155)-0)--5.73882324666488)--25)--1.55205000000001)-0.708678571428436)--10.654293893343)--16.6012366168477)-3.41150289410371)--0.0918333285001154)-0.00999999999999091)--0.0171002075896922)-0.00733749999972133)--0.0199999999999818)-0.0199999999999818)--130.149220673281)-0)-75)-208.784246484347)--45.3632433016305)--50)-2.30750000000012)-2.30749999999989)--0.00999999999999091)-92.2448241717402)--100)--30)-0)-0.00954083343003731)--66.6972880629069)-75)-336.453387319662)--288.583804474637)-120.6)--268.23992337003)--8.37086250000038)--77.3488291724639)--5.00000000000091)-24.0216493150681)-23.902)--6.11149999999998)--39.6346849315069)--64.2187760190218)-100)--20)-140</f>
        <v>85.490116278606706</v>
      </c>
      <c r="I28" s="107">
        <f>((((((((((((((((((((((((((((((((((((((((((((((((((((((((((((((((((((((356.992878766989-330)--566.726170358941)-50)-155.033336655979)--33.0676522361334)--90.8985611006351)--13.8246368523403)-94.8257121396416)--584.899933364454)-372.4889275)-335)-1.94496488200889)--34.9999999999998)-181.831125288332)-381.671079543411)--156.28775)--150)-40)--50)--50)-60.2149476562499)--40)--23.4010879904783)-55.664366190389)--2.36500000000024)-75)--73.8705)--25)-32.747763378376)--50)--1.55204999999978)--1.02151785714295)--15.83832508458)--16.4318362432061)--2.05737089269951)--0.101333328000237)-0.0100000000002183)--0.0165307737195235)-0.0066999999996824)--0.0199999999999818)-0.0199999999999818)--174.044610222026)--10.1999999999998)-125)-259.679054712173)--44.9003530638586)-0)--7.34000000000015)-2.86000000000013)--0.00999999999999091)-140.392487707283)--200)-10.2)-0.00949333344010483)--126.351957605767)-125)-196.965037263455)--333.844905115943)-170.6)--292.811268049426)-1.03581249999979)-28.6716816879377)--5.00000000000023)-30.0520828767123)-23.9019999999998)--6.11149999999998)--49.2226849315068)--62.7972476630437)-100)--20)-190</f>
        <v>101.18108818550252</v>
      </c>
      <c r="J28" s="107">
        <f>((((((((((((((((((((((((((((((((((((((((((((((((((((((((((((((((((((((356.992878766989-330)--566.726170358941)-50)-155.033336655979)--33.0676522361334)--90.8985611006351)--13.8246368523403)-94.8257121396416)--584.899933364454)-372.4889275)-335)-1.94496488200889)--34.9999999999998)-181.831125288332)-381.671079543411)--156.28775)--150)-40)--50)--50)-60.2149476562499)--40)--23.4010879904783)-55.664366190389)--2.36500000000024)-75)--73.8705)--25)-32.747763378376)--50)--1.55204999999978)--1.02151785714295)--15.83832508458)--16.4318362432061)--2.05737089269951)--0.101333328000237)-0.0100000000002183)--0.0165307737195235)-0.0066999999996824)--0.0199999999999818)-0.0199999999999818)--174.044610222026)--10.1999999999998)-125)-259.679054712173)--44.9003530638586)-0)--7.34000000000015)-2.86000000000013)--0.00999999999999091)-140.392487707283)--200)-10.2)-0.00949333344010483)--126.351957605767)-125)-196.965037263455)--333.844905115943)-170.6)--292.811268049426)-1.03581249999979)-28.6716816879377)--5.00000000000023)-30.0520828767123)-23.9019999999998)--6.11149999999998)--49.2226849315068)--62.7972476630437)-100)--20)-129.843989470568</f>
        <v>161.337098714935</v>
      </c>
      <c r="K28" s="107">
        <f>((((((((((((((((((((((((((((((((((((((((((((((((((((((((((((((((((((((356.992878766989-330)--566.726170358941)-50)-155.033336655979)--33.0676522361334)--90.8985611006351)--13.8246368523403)-94.8257121396416)--584.899933364454)-372.4889275)-335)-1.94496488200889)--34.9999999999998)-181.831125288332)-381.671079543411)--156.28775)--150)-40)--50)--50)-60.2149476562499)--40)--23.4010879904783)-55.664366190389)--2.36500000000024)-75)--73.8705)--25)-32.747763378376)--50)--1.55204999999978)--1.02151785714295)--15.83832508458)--16.4318362432061)--2.05737089269951)--0.101333328000237)-0.0100000000002183)--0.0165307737195235)-0.0066999999996824)--0.0199999999999818)-0.0199999999999818)--174.044610222026)--10.1999999999998)-125)-259.679054712173)--44.9003530638586)-0)--7.34000000000015)-2.86000000000013)--0.00999999999999091)-140.392487707283)--200)-10.2)-0.00949333344010483)--126.351957605767)-125)-196.965037263455)--333.844905115943)-170.6)--292.811268049426)-1.03581249999979)-28.6716816879377)--5.00000000000023)-30.0520828767123)-23.9019999999998)--6.11149999999998)--49.2226849315068)--62.7972476630437)-100)--20)-19.0390550086545</f>
        <v>272.14203317684803</v>
      </c>
      <c r="L28" s="1">
        <v>90</v>
      </c>
      <c r="M28" s="1">
        <v>140</v>
      </c>
      <c r="N28" s="1">
        <v>190</v>
      </c>
      <c r="O28" s="1">
        <v>129.84398947056752</v>
      </c>
      <c r="P28" s="1">
        <v>19.039055008654486</v>
      </c>
      <c r="Q28" s="1">
        <v>30.052082876712348</v>
      </c>
    </row>
    <row r="29" spans="1:19" ht="17">
      <c r="A29" s="112"/>
      <c r="B29" s="109"/>
      <c r="C29" s="109"/>
      <c r="D29" s="109"/>
      <c r="E29" s="109"/>
      <c r="F29" s="109"/>
      <c r="G29" s="109"/>
      <c r="H29" s="109"/>
      <c r="I29" s="109"/>
      <c r="J29" s="109"/>
      <c r="K29" s="109"/>
    </row>
    <row r="30" spans="1:19">
      <c r="A30" s="102" t="s">
        <v>80</v>
      </c>
      <c r="B30" s="113">
        <f t="shared" ref="B30:I30" si="9">SUM(B22:B28)</f>
        <v>168.30999999999997</v>
      </c>
      <c r="C30" s="113">
        <f t="shared" si="9"/>
        <v>910.19</v>
      </c>
      <c r="D30" s="113">
        <f t="shared" si="9"/>
        <v>1058.320018951016</v>
      </c>
      <c r="E30" s="113">
        <f t="shared" si="9"/>
        <v>1075.5220522211334</v>
      </c>
      <c r="F30" s="113">
        <f t="shared" si="9"/>
        <v>1107.2464509628485</v>
      </c>
      <c r="G30" s="113">
        <f t="shared" si="9"/>
        <v>1148.5286812603365</v>
      </c>
      <c r="H30" s="113">
        <f t="shared" si="9"/>
        <v>1201.4673025978786</v>
      </c>
      <c r="I30" s="113">
        <f t="shared" si="9"/>
        <v>1255.304832527796</v>
      </c>
      <c r="J30" s="113">
        <f t="shared" ref="J30:K30" si="10">SUM(J22:J28)</f>
        <v>1406.4504577922066</v>
      </c>
      <c r="K30" s="113">
        <f t="shared" si="10"/>
        <v>1555.4019502771416</v>
      </c>
      <c r="L30" s="309"/>
      <c r="M30" s="309"/>
      <c r="N30" s="309"/>
      <c r="O30" s="309"/>
      <c r="P30" s="309"/>
      <c r="Q30" s="309"/>
      <c r="R30" s="108"/>
      <c r="S30" s="108"/>
    </row>
    <row r="31" spans="1:19">
      <c r="A31" s="114"/>
      <c r="B31" s="115">
        <f t="shared" ref="B31:K31" si="11">+B30-B18</f>
        <v>0</v>
      </c>
      <c r="C31" s="115">
        <f t="shared" si="11"/>
        <v>0</v>
      </c>
      <c r="D31" s="115">
        <f t="shared" si="11"/>
        <v>0</v>
      </c>
      <c r="E31" s="115">
        <f t="shared" si="11"/>
        <v>0</v>
      </c>
      <c r="F31" s="115">
        <f t="shared" si="11"/>
        <v>0</v>
      </c>
      <c r="G31" s="115">
        <f t="shared" si="11"/>
        <v>0</v>
      </c>
      <c r="H31" s="115">
        <f t="shared" si="11"/>
        <v>0</v>
      </c>
      <c r="I31" s="115">
        <f t="shared" si="11"/>
        <v>0</v>
      </c>
      <c r="J31" s="115">
        <f t="shared" si="11"/>
        <v>0</v>
      </c>
      <c r="K31" s="115">
        <f t="shared" si="11"/>
        <v>0</v>
      </c>
    </row>
    <row r="32" spans="1:19">
      <c r="A32" s="622" t="s">
        <v>126</v>
      </c>
      <c r="B32" s="623"/>
      <c r="C32" s="623"/>
      <c r="D32" s="623"/>
      <c r="E32" s="623"/>
      <c r="F32" s="623"/>
      <c r="G32" s="623"/>
      <c r="H32" s="623"/>
      <c r="I32" s="623"/>
      <c r="J32" s="623"/>
      <c r="K32" s="623"/>
    </row>
    <row r="33" spans="1:11">
      <c r="A33" s="102" t="s">
        <v>1</v>
      </c>
      <c r="B33" s="103">
        <v>44651</v>
      </c>
      <c r="C33" s="103">
        <v>45016</v>
      </c>
      <c r="D33" s="103">
        <v>45382</v>
      </c>
      <c r="E33" s="103">
        <v>45747</v>
      </c>
      <c r="F33" s="103">
        <v>46112</v>
      </c>
      <c r="G33" s="103">
        <v>46477</v>
      </c>
      <c r="H33" s="103">
        <v>46843</v>
      </c>
      <c r="I33" s="103">
        <v>47208</v>
      </c>
      <c r="J33" s="103">
        <v>47573</v>
      </c>
      <c r="K33" s="103">
        <v>47938</v>
      </c>
    </row>
    <row r="34" spans="1:11">
      <c r="A34" s="114" t="s">
        <v>127</v>
      </c>
      <c r="B34" s="107">
        <v>0</v>
      </c>
      <c r="C34" s="107">
        <f t="shared" ref="C34:G34" si="12">+B38</f>
        <v>-1.89</v>
      </c>
      <c r="D34" s="107">
        <f t="shared" si="12"/>
        <v>-0.92000000000005078</v>
      </c>
      <c r="E34" s="107">
        <f t="shared" si="12"/>
        <v>42.059547531829956</v>
      </c>
      <c r="F34" s="107">
        <f t="shared" si="12"/>
        <v>95.596446273544899</v>
      </c>
      <c r="G34" s="107">
        <f t="shared" si="12"/>
        <v>205.30343430097415</v>
      </c>
      <c r="H34" s="107">
        <f>+G38</f>
        <v>341.31616375697479</v>
      </c>
      <c r="I34" s="107">
        <f>+H38</f>
        <v>490.95649867997889</v>
      </c>
      <c r="J34" s="107">
        <f t="shared" ref="J34:K34" si="13">+I38</f>
        <v>645.02220956455108</v>
      </c>
      <c r="K34" s="107">
        <f t="shared" si="13"/>
        <v>816.5710592864682</v>
      </c>
    </row>
    <row r="35" spans="1:11">
      <c r="A35" s="114" t="s">
        <v>81</v>
      </c>
      <c r="B35" s="107">
        <f>+'Project PL '!B28</f>
        <v>-1.89</v>
      </c>
      <c r="C35" s="107">
        <f>+'Project PL '!C28</f>
        <v>0.96999999999994913</v>
      </c>
      <c r="D35" s="107">
        <f>+'Project PL '!D28</f>
        <v>42.979547531830008</v>
      </c>
      <c r="E35" s="107">
        <f>+'Project PL '!E28</f>
        <v>133.53689874171494</v>
      </c>
      <c r="F35" s="107">
        <f>+'Project PL '!F28</f>
        <v>139.70698802742925</v>
      </c>
      <c r="G35" s="107">
        <f>+'Project PL '!G28</f>
        <v>169.01272945600067</v>
      </c>
      <c r="H35" s="107">
        <f>+'Project PL '!H28</f>
        <v>185.94033492300412</v>
      </c>
      <c r="I35" s="107">
        <f>+'Project PL '!I28</f>
        <v>193.99571088457213</v>
      </c>
      <c r="J35" s="107">
        <f>+'Project PL '!J28</f>
        <v>215.47184972191707</v>
      </c>
      <c r="K35" s="107">
        <f>+'Project PL '!K28</f>
        <v>200.74410374171501</v>
      </c>
    </row>
    <row r="36" spans="1:11">
      <c r="A36" s="114" t="s">
        <v>416</v>
      </c>
      <c r="B36" s="107">
        <v>0</v>
      </c>
      <c r="C36" s="107">
        <v>0</v>
      </c>
      <c r="D36" s="107">
        <v>0</v>
      </c>
      <c r="E36" s="107">
        <v>80</v>
      </c>
      <c r="F36" s="107">
        <v>0</v>
      </c>
      <c r="G36" s="107">
        <v>0</v>
      </c>
      <c r="H36" s="107">
        <v>0</v>
      </c>
      <c r="I36" s="107">
        <v>0</v>
      </c>
      <c r="J36" s="107">
        <v>0</v>
      </c>
      <c r="K36" s="107">
        <v>0</v>
      </c>
    </row>
    <row r="37" spans="1:11">
      <c r="A37" s="114" t="s">
        <v>417</v>
      </c>
      <c r="B37" s="107">
        <v>0</v>
      </c>
      <c r="C37" s="107">
        <f t="shared" ref="C37" si="14">+B37*1.1</f>
        <v>0</v>
      </c>
      <c r="D37" s="107">
        <v>0</v>
      </c>
      <c r="E37" s="107">
        <v>0</v>
      </c>
      <c r="F37" s="107">
        <v>30</v>
      </c>
      <c r="G37" s="107">
        <f t="shared" ref="G37" si="15">+F37*1.1</f>
        <v>33</v>
      </c>
      <c r="H37" s="107">
        <f t="shared" ref="H37" si="16">+G37*1.1</f>
        <v>36.300000000000004</v>
      </c>
      <c r="I37" s="107">
        <f t="shared" ref="I37" si="17">+H37*1.1</f>
        <v>39.930000000000007</v>
      </c>
      <c r="J37" s="107">
        <f t="shared" ref="J37" si="18">+I37*1.1</f>
        <v>43.923000000000009</v>
      </c>
      <c r="K37" s="107">
        <f t="shared" ref="K37" si="19">+J37*1.1</f>
        <v>48.315300000000015</v>
      </c>
    </row>
    <row r="38" spans="1:11">
      <c r="A38" s="102" t="s">
        <v>83</v>
      </c>
      <c r="B38" s="116">
        <f t="shared" ref="B38:D38" si="20">+B34+B35-B37-B36</f>
        <v>-1.89</v>
      </c>
      <c r="C38" s="116">
        <f t="shared" si="20"/>
        <v>-0.92000000000005078</v>
      </c>
      <c r="D38" s="116">
        <f t="shared" si="20"/>
        <v>42.059547531829956</v>
      </c>
      <c r="E38" s="116">
        <f>+E34+E35-E37-E36</f>
        <v>95.596446273544899</v>
      </c>
      <c r="F38" s="116">
        <f t="shared" ref="F38:I38" si="21">+F34+F35-F37-F36</f>
        <v>205.30343430097415</v>
      </c>
      <c r="G38" s="116">
        <f t="shared" si="21"/>
        <v>341.31616375697479</v>
      </c>
      <c r="H38" s="116">
        <f t="shared" si="21"/>
        <v>490.95649867997889</v>
      </c>
      <c r="I38" s="116">
        <f t="shared" si="21"/>
        <v>645.02220956455108</v>
      </c>
      <c r="J38" s="116">
        <f t="shared" ref="J38:K38" si="22">+J34+J35-J37-J36</f>
        <v>816.5710592864682</v>
      </c>
      <c r="K38" s="116">
        <f t="shared" si="22"/>
        <v>968.9998630281832</v>
      </c>
    </row>
    <row r="51" spans="2:2">
      <c r="B51" s="1" t="s">
        <v>31</v>
      </c>
    </row>
  </sheetData>
  <mergeCells count="3">
    <mergeCell ref="A1:I1"/>
    <mergeCell ref="A2:K2"/>
    <mergeCell ref="A32:K32"/>
  </mergeCells>
  <pageMargins left="0.7" right="0.7" top="0.75" bottom="0.75" header="0.3" footer="0.3"/>
  <pageSetup paperSize="9" scale="74" orientation="landscape" r:id="rId1"/>
  <headerFooter>
    <oddHeader>&amp;C&amp;"Book Antiqua,Bold"&amp;13</oddHeader>
    <oddFooter>&amp;C&amp;"-,Bold"&amp;12Prepared by JNR Corporate Advisory Services Private Limited, Contact details: jnr4india@gmail.com, +918602267779, +918962611446</oddFooter>
  </headerFooter>
  <rowBreaks count="2" manualBreakCount="2">
    <brk id="30" max="10" man="1"/>
    <brk id="38"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3"/>
  </sheetPr>
  <dimension ref="A1:N39"/>
  <sheetViews>
    <sheetView showGridLines="0" view="pageBreakPreview" topLeftCell="A11" zoomScaleSheetLayoutView="100" workbookViewId="0">
      <selection activeCell="J18" sqref="J18"/>
    </sheetView>
  </sheetViews>
  <sheetFormatPr defaultColWidth="9.1796875" defaultRowHeight="13"/>
  <cols>
    <col min="1" max="1" width="38.54296875" style="51" customWidth="1"/>
    <col min="2" max="2" width="12.1796875" style="51" customWidth="1"/>
    <col min="3" max="9" width="11" style="51" customWidth="1"/>
    <col min="10" max="11" width="11.26953125" style="51" customWidth="1"/>
    <col min="12" max="16384" width="9.1796875" style="51"/>
  </cols>
  <sheetData>
    <row r="1" spans="1:14" ht="25.5">
      <c r="A1" s="591" t="s">
        <v>379</v>
      </c>
      <c r="B1" s="591"/>
      <c r="C1" s="591"/>
      <c r="D1" s="591"/>
      <c r="E1" s="591"/>
      <c r="F1" s="591"/>
      <c r="G1" s="591"/>
      <c r="H1" s="591"/>
      <c r="I1" s="591"/>
      <c r="J1" s="591"/>
      <c r="K1" s="591"/>
    </row>
    <row r="2" spans="1:14">
      <c r="A2" s="62"/>
      <c r="B2" s="62"/>
      <c r="C2" s="61"/>
      <c r="D2" s="61"/>
      <c r="E2" s="61"/>
      <c r="F2" s="61"/>
      <c r="G2" s="61"/>
      <c r="H2" s="61"/>
      <c r="I2" s="61"/>
      <c r="J2" s="61"/>
      <c r="K2" s="61"/>
    </row>
    <row r="3" spans="1:14">
      <c r="A3" s="624" t="s">
        <v>98</v>
      </c>
      <c r="B3" s="625"/>
      <c r="C3" s="625"/>
      <c r="D3" s="625"/>
      <c r="E3" s="625"/>
      <c r="F3" s="625"/>
      <c r="G3" s="625"/>
      <c r="H3" s="625"/>
      <c r="I3" s="625"/>
      <c r="J3" s="625"/>
      <c r="K3" s="625"/>
    </row>
    <row r="4" spans="1:14">
      <c r="A4" s="52" t="s">
        <v>1</v>
      </c>
      <c r="B4" s="97" t="s">
        <v>333</v>
      </c>
      <c r="C4" s="97" t="s">
        <v>20</v>
      </c>
      <c r="D4" s="97" t="s">
        <v>21</v>
      </c>
      <c r="E4" s="97" t="s">
        <v>27</v>
      </c>
      <c r="F4" s="97" t="s">
        <v>28</v>
      </c>
      <c r="G4" s="97" t="s">
        <v>57</v>
      </c>
      <c r="H4" s="97" t="s">
        <v>138</v>
      </c>
      <c r="I4" s="97" t="s">
        <v>225</v>
      </c>
      <c r="J4" s="97" t="s">
        <v>729</v>
      </c>
      <c r="K4" s="97" t="s">
        <v>730</v>
      </c>
    </row>
    <row r="5" spans="1:14">
      <c r="A5" s="52"/>
      <c r="B5" s="79" t="s">
        <v>332</v>
      </c>
      <c r="C5" s="79" t="s">
        <v>332</v>
      </c>
      <c r="D5" s="79" t="s">
        <v>39</v>
      </c>
      <c r="E5" s="79" t="s">
        <v>39</v>
      </c>
      <c r="F5" s="79" t="s">
        <v>39</v>
      </c>
      <c r="G5" s="79" t="s">
        <v>39</v>
      </c>
      <c r="H5" s="79" t="s">
        <v>39</v>
      </c>
      <c r="I5" s="79" t="s">
        <v>39</v>
      </c>
      <c r="J5" s="79" t="s">
        <v>39</v>
      </c>
      <c r="K5" s="79" t="s">
        <v>39</v>
      </c>
    </row>
    <row r="6" spans="1:14">
      <c r="A6" s="53" t="s">
        <v>156</v>
      </c>
      <c r="B6" s="58">
        <f>+'Production, Revenue &amp; Profit'!D215</f>
        <v>0</v>
      </c>
      <c r="C6" s="58">
        <f>+SUM('Production, Revenue &amp; Profit'!E220)</f>
        <v>55.939999999999991</v>
      </c>
      <c r="D6" s="58">
        <f>+SUM('Production, Revenue &amp; Profit'!F220)</f>
        <v>687.33361086956529</v>
      </c>
      <c r="E6" s="58">
        <f>+SUM('Production, Revenue &amp; Profit'!G220)</f>
        <v>1255.9449532608694</v>
      </c>
      <c r="F6" s="58">
        <f>+SUM('Production, Revenue &amp; Profit'!H220)</f>
        <v>1255.9449532608694</v>
      </c>
      <c r="G6" s="58">
        <f>+SUM('Production, Revenue &amp; Profit'!I220)</f>
        <v>1255.9449532608694</v>
      </c>
      <c r="H6" s="58">
        <f>+SUM('Production, Revenue &amp; Profit'!J220)</f>
        <v>1284.3755203804349</v>
      </c>
      <c r="I6" s="58">
        <f>+SUM('Production, Revenue &amp; Profit'!K220)</f>
        <v>1255.9449532608694</v>
      </c>
      <c r="J6" s="58">
        <f>+SUM('Production, Revenue &amp; Profit'!L220)</f>
        <v>1284.3755203804349</v>
      </c>
      <c r="K6" s="58">
        <f>+SUM('Production, Revenue &amp; Profit'!M220)</f>
        <v>1255.9449532608694</v>
      </c>
    </row>
    <row r="7" spans="1:14">
      <c r="A7" s="64"/>
      <c r="B7" s="58"/>
      <c r="C7" s="58"/>
      <c r="D7" s="58"/>
      <c r="E7" s="58"/>
      <c r="F7" s="58"/>
      <c r="G7" s="58"/>
      <c r="H7" s="58"/>
      <c r="I7" s="58"/>
      <c r="J7" s="58"/>
      <c r="K7" s="58"/>
    </row>
    <row r="8" spans="1:14">
      <c r="A8" s="60" t="s">
        <v>7</v>
      </c>
      <c r="B8" s="65">
        <f t="shared" ref="B8:I8" si="0">+SUM(B6:B6)</f>
        <v>0</v>
      </c>
      <c r="C8" s="65">
        <f t="shared" si="0"/>
        <v>55.939999999999991</v>
      </c>
      <c r="D8" s="65">
        <f t="shared" si="0"/>
        <v>687.33361086956529</v>
      </c>
      <c r="E8" s="65">
        <f t="shared" si="0"/>
        <v>1255.9449532608694</v>
      </c>
      <c r="F8" s="65">
        <f t="shared" si="0"/>
        <v>1255.9449532608694</v>
      </c>
      <c r="G8" s="65">
        <f t="shared" si="0"/>
        <v>1255.9449532608694</v>
      </c>
      <c r="H8" s="65">
        <f t="shared" si="0"/>
        <v>1284.3755203804349</v>
      </c>
      <c r="I8" s="65">
        <f t="shared" si="0"/>
        <v>1255.9449532608694</v>
      </c>
      <c r="J8" s="65">
        <f t="shared" ref="J8:K8" si="1">+SUM(J6:J6)</f>
        <v>1284.3755203804349</v>
      </c>
      <c r="K8" s="65">
        <f t="shared" si="1"/>
        <v>1255.9449532608694</v>
      </c>
    </row>
    <row r="9" spans="1:14">
      <c r="A9" s="57"/>
      <c r="B9" s="57"/>
      <c r="C9" s="57"/>
      <c r="D9" s="57"/>
      <c r="E9" s="57"/>
      <c r="F9" s="57"/>
      <c r="G9" s="57"/>
      <c r="H9" s="57"/>
      <c r="I9" s="57"/>
      <c r="J9" s="57"/>
      <c r="K9" s="57"/>
    </row>
    <row r="10" spans="1:14">
      <c r="A10" s="59" t="s">
        <v>129</v>
      </c>
      <c r="B10" s="66">
        <f>+SUM('Production, Revenue &amp; Profit'!D224:D237)</f>
        <v>0.48</v>
      </c>
      <c r="C10" s="66">
        <f>+SUM('Production, Revenue &amp; Profit'!E224:E237)</f>
        <v>34.140000000000043</v>
      </c>
      <c r="D10" s="66">
        <f>+SUM('Production, Revenue &amp; Profit'!F224:F237)</f>
        <v>536.09550208695646</v>
      </c>
      <c r="E10" s="66">
        <f>+SUM('Production, Revenue &amp; Profit'!G224:G237)</f>
        <v>990.01080582608711</v>
      </c>
      <c r="F10" s="66">
        <f>+SUM('Production, Revenue &amp; Profit'!H224:H237)</f>
        <v>990.01080582608711</v>
      </c>
      <c r="G10" s="66">
        <f>+SUM('Production, Revenue &amp; Profit'!I224:I237)</f>
        <v>964.67810582608706</v>
      </c>
      <c r="H10" s="66">
        <f>+SUM('Production, Revenue &amp; Profit'!J224:J237)</f>
        <v>983.22241441304345</v>
      </c>
      <c r="I10" s="66">
        <f>+SUM('Production, Revenue &amp; Profit'!K224:K237)</f>
        <v>955.34350582608704</v>
      </c>
      <c r="J10" s="66">
        <f>+SUM('Production, Revenue &amp; Profit'!L224:L237)</f>
        <v>966.02945582608709</v>
      </c>
      <c r="K10" s="66">
        <f>+SUM('Production, Revenue &amp; Profit'!M224:M237)</f>
        <v>955.34350582608704</v>
      </c>
      <c r="L10" s="51">
        <f>49.58-5.11-5.35</f>
        <v>39.119999999999997</v>
      </c>
    </row>
    <row r="11" spans="1:14">
      <c r="A11" s="59" t="s">
        <v>305</v>
      </c>
      <c r="B11" s="66">
        <f>+'Production, Revenue &amp; Profit'!D244</f>
        <v>1.4</v>
      </c>
      <c r="C11" s="66">
        <f>+'Production, Revenue &amp; Profit'!E244</f>
        <v>4.97</v>
      </c>
      <c r="D11" s="66">
        <f>+'Production, Revenue &amp; Profit'!F244</f>
        <v>7</v>
      </c>
      <c r="E11" s="66">
        <f>+'Production, Revenue &amp; Profit'!G244</f>
        <v>10</v>
      </c>
      <c r="F11" s="66">
        <f>+'Production, Revenue &amp; Profit'!H244</f>
        <v>10</v>
      </c>
      <c r="G11" s="66">
        <f>+'Production, Revenue &amp; Profit'!I244</f>
        <v>10</v>
      </c>
      <c r="H11" s="66">
        <f>+'Production, Revenue &amp; Profit'!J244</f>
        <v>10</v>
      </c>
      <c r="I11" s="66">
        <f>+'Production, Revenue &amp; Profit'!K244</f>
        <v>10</v>
      </c>
      <c r="J11" s="66">
        <f>+'Production, Revenue &amp; Profit'!L244</f>
        <v>10</v>
      </c>
      <c r="K11" s="66">
        <f>+'Production, Revenue &amp; Profit'!M244</f>
        <v>10</v>
      </c>
    </row>
    <row r="12" spans="1:14" ht="14.25" customHeight="1">
      <c r="A12" s="54"/>
      <c r="B12" s="63"/>
      <c r="C12" s="63"/>
      <c r="D12" s="63"/>
      <c r="E12" s="63"/>
      <c r="F12" s="63"/>
      <c r="G12" s="63"/>
      <c r="H12" s="63"/>
      <c r="I12" s="63"/>
      <c r="J12" s="63"/>
      <c r="K12" s="63"/>
    </row>
    <row r="13" spans="1:14">
      <c r="A13" s="60" t="s">
        <v>58</v>
      </c>
      <c r="B13" s="56">
        <f t="shared" ref="B13:I13" si="2">+B8-B10-B11</f>
        <v>-1.88</v>
      </c>
      <c r="C13" s="56">
        <f t="shared" si="2"/>
        <v>16.829999999999949</v>
      </c>
      <c r="D13" s="56">
        <f t="shared" si="2"/>
        <v>144.23810878260883</v>
      </c>
      <c r="E13" s="56">
        <f t="shared" si="2"/>
        <v>255.93414743478229</v>
      </c>
      <c r="F13" s="56">
        <f t="shared" si="2"/>
        <v>255.93414743478229</v>
      </c>
      <c r="G13" s="56">
        <f t="shared" si="2"/>
        <v>281.26684743478233</v>
      </c>
      <c r="H13" s="56">
        <f t="shared" si="2"/>
        <v>291.15310596739141</v>
      </c>
      <c r="I13" s="56">
        <f t="shared" si="2"/>
        <v>290.60144743478236</v>
      </c>
      <c r="J13" s="56">
        <f t="shared" ref="J13:K13" si="3">+J8-J10-J11</f>
        <v>308.34606455434778</v>
      </c>
      <c r="K13" s="56">
        <f t="shared" si="3"/>
        <v>290.60144743478236</v>
      </c>
      <c r="L13" s="67"/>
      <c r="M13" s="67"/>
      <c r="N13" s="67"/>
    </row>
    <row r="14" spans="1:14" s="89" customFormat="1">
      <c r="A14" s="54"/>
      <c r="B14" s="54"/>
      <c r="C14" s="54"/>
      <c r="D14" s="54"/>
      <c r="E14" s="54"/>
      <c r="F14" s="54"/>
      <c r="G14" s="54"/>
      <c r="H14" s="54"/>
      <c r="I14" s="54"/>
      <c r="J14" s="54"/>
      <c r="K14" s="54"/>
    </row>
    <row r="15" spans="1:14" s="89" customFormat="1">
      <c r="A15" s="54" t="s">
        <v>59</v>
      </c>
      <c r="B15" s="66">
        <f>+'Production, Revenue &amp; Profit'!D248</f>
        <v>0</v>
      </c>
      <c r="C15" s="66">
        <f>+'Production, Revenue &amp; Profit'!E248</f>
        <v>5.35</v>
      </c>
      <c r="D15" s="66">
        <f>+'Production, Revenue &amp; Profit'!F248</f>
        <v>30.323935215750002</v>
      </c>
      <c r="E15" s="66">
        <f>+'Production, Revenue &amp; Profit'!G248</f>
        <v>40.431913621</v>
      </c>
      <c r="F15" s="66">
        <f>+'Production, Revenue &amp; Profit'!H248</f>
        <v>40.431913621</v>
      </c>
      <c r="G15" s="66">
        <f>+'Production, Revenue &amp; Profit'!I248</f>
        <v>40.431913621</v>
      </c>
      <c r="H15" s="66">
        <f>+'Production, Revenue &amp; Profit'!J248</f>
        <v>40.431913621</v>
      </c>
      <c r="I15" s="66">
        <f>+'Production, Revenue &amp; Profit'!K248</f>
        <v>40.431913621</v>
      </c>
      <c r="J15" s="66">
        <f>+'Production, Revenue &amp; Profit'!L248</f>
        <v>40.431913621</v>
      </c>
      <c r="K15" s="66">
        <f>+'Production, Revenue &amp; Profit'!M248</f>
        <v>40.431913621</v>
      </c>
    </row>
    <row r="16" spans="1:14" s="89" customFormat="1">
      <c r="A16" s="54"/>
      <c r="B16" s="54"/>
      <c r="C16" s="54"/>
      <c r="D16" s="54"/>
      <c r="E16" s="54"/>
      <c r="F16" s="54"/>
      <c r="G16" s="54"/>
      <c r="H16" s="54"/>
      <c r="I16" s="54"/>
      <c r="J16" s="54"/>
      <c r="K16" s="54"/>
    </row>
    <row r="17" spans="1:11" s="89" customFormat="1">
      <c r="A17" s="60" t="s">
        <v>61</v>
      </c>
      <c r="B17" s="56">
        <f t="shared" ref="B17" si="4">+B13-B15</f>
        <v>-1.88</v>
      </c>
      <c r="C17" s="56">
        <f t="shared" ref="C17:I17" si="5">+C13-C15</f>
        <v>11.479999999999949</v>
      </c>
      <c r="D17" s="56">
        <f t="shared" si="5"/>
        <v>113.91417356685884</v>
      </c>
      <c r="E17" s="56">
        <f t="shared" si="5"/>
        <v>215.50223381378228</v>
      </c>
      <c r="F17" s="56">
        <f t="shared" si="5"/>
        <v>215.50223381378228</v>
      </c>
      <c r="G17" s="56">
        <f t="shared" si="5"/>
        <v>240.83493381378233</v>
      </c>
      <c r="H17" s="56">
        <f t="shared" si="5"/>
        <v>250.7211923463914</v>
      </c>
      <c r="I17" s="56">
        <f t="shared" si="5"/>
        <v>250.16953381378235</v>
      </c>
      <c r="J17" s="56">
        <f t="shared" ref="J17:K17" si="6">+J13-J15</f>
        <v>267.9141509333478</v>
      </c>
      <c r="K17" s="56">
        <f t="shared" si="6"/>
        <v>250.16953381378235</v>
      </c>
    </row>
    <row r="18" spans="1:11" s="89" customFormat="1">
      <c r="A18" s="54"/>
      <c r="B18" s="54"/>
      <c r="C18" s="54"/>
      <c r="D18" s="54"/>
      <c r="E18" s="54"/>
      <c r="F18" s="54"/>
      <c r="G18" s="54"/>
      <c r="H18" s="54"/>
      <c r="I18" s="54"/>
      <c r="J18" s="54"/>
      <c r="K18" s="54"/>
    </row>
    <row r="19" spans="1:11">
      <c r="A19" s="69" t="s">
        <v>38</v>
      </c>
      <c r="B19" s="70"/>
      <c r="C19" s="70"/>
      <c r="D19" s="70"/>
      <c r="E19" s="70"/>
      <c r="F19" s="70"/>
      <c r="G19" s="70"/>
      <c r="H19" s="70"/>
      <c r="I19" s="70"/>
      <c r="J19" s="70"/>
      <c r="K19" s="70"/>
    </row>
    <row r="20" spans="1:11">
      <c r="A20" s="54" t="s">
        <v>230</v>
      </c>
      <c r="B20" s="73">
        <f>+'Production, Revenue &amp; Profit'!D253</f>
        <v>0</v>
      </c>
      <c r="C20" s="73">
        <f>+'Production, Revenue &amp; Profit'!E253</f>
        <v>4.1399999999999997</v>
      </c>
      <c r="D20" s="73">
        <f>+'Production, Revenue &amp; Profit'!F253</f>
        <v>49.35</v>
      </c>
      <c r="E20" s="73">
        <f>+'Production, Revenue &amp; Profit'!G253</f>
        <v>44.4</v>
      </c>
      <c r="F20" s="73">
        <f>+'Production, Revenue &amp; Profit'!H253</f>
        <v>37.141071428571429</v>
      </c>
      <c r="G20" s="73">
        <f>+'Production, Revenue &amp; Profit'!I253</f>
        <v>27.996428571428591</v>
      </c>
      <c r="H20" s="73">
        <f>+'Production, Revenue &amp; Profit'!J253</f>
        <v>17.967857142857167</v>
      </c>
      <c r="I20" s="73">
        <f>+'Production, Revenue &amp; Profit'!K253</f>
        <v>7.9392857142857336</v>
      </c>
      <c r="J20" s="73">
        <f>+'Production, Revenue &amp; Profit'!L253</f>
        <v>0.4178571428571583</v>
      </c>
      <c r="K20" s="73">
        <f>+'Production, Revenue &amp; Profit'!M253</f>
        <v>0</v>
      </c>
    </row>
    <row r="21" spans="1:11">
      <c r="A21" s="54" t="s">
        <v>346</v>
      </c>
      <c r="B21" s="73">
        <f>+'Production, Revenue &amp; Profit'!D254</f>
        <v>0.01</v>
      </c>
      <c r="C21" s="73">
        <f>+'Production, Revenue &amp; Profit'!E254</f>
        <v>0.43</v>
      </c>
      <c r="D21" s="73">
        <f>+'Production, Revenue &amp; Profit'!F254</f>
        <v>1</v>
      </c>
      <c r="E21" s="73">
        <f>+'Production, Revenue &amp; Profit'!G254</f>
        <v>1</v>
      </c>
      <c r="F21" s="73">
        <f>+'Production, Revenue &amp; Profit'!H254</f>
        <v>1</v>
      </c>
      <c r="G21" s="73">
        <f>+'Production, Revenue &amp; Profit'!I254</f>
        <v>1</v>
      </c>
      <c r="H21" s="73">
        <f>+'Production, Revenue &amp; Profit'!J254</f>
        <v>1</v>
      </c>
      <c r="I21" s="73">
        <f>+'Production, Revenue &amp; Profit'!K254</f>
        <v>1</v>
      </c>
      <c r="J21" s="73">
        <f>+'Production, Revenue &amp; Profit'!L254</f>
        <v>1</v>
      </c>
      <c r="K21" s="73">
        <f>+'Production, Revenue &amp; Profit'!M254</f>
        <v>1</v>
      </c>
    </row>
    <row r="22" spans="1:11">
      <c r="A22" s="54" t="s">
        <v>231</v>
      </c>
      <c r="B22" s="55">
        <f>+'Production, Revenue &amp; Profit'!D255</f>
        <v>0</v>
      </c>
      <c r="C22" s="55">
        <f>+'Production, Revenue &amp; Profit'!E255</f>
        <v>0.55000000000000004</v>
      </c>
      <c r="D22" s="55">
        <f>+'Production, Revenue &amp; Profit'!F255</f>
        <v>13</v>
      </c>
      <c r="E22" s="55">
        <f>+'Production, Revenue &amp; Profit'!G255</f>
        <v>13</v>
      </c>
      <c r="F22" s="55">
        <f>+'Production, Revenue &amp; Profit'!H255</f>
        <v>13</v>
      </c>
      <c r="G22" s="55">
        <f>+'Production, Revenue &amp; Profit'!I255</f>
        <v>13</v>
      </c>
      <c r="H22" s="55">
        <f>+'Production, Revenue &amp; Profit'!J255</f>
        <v>13</v>
      </c>
      <c r="I22" s="55">
        <f>+'Production, Revenue &amp; Profit'!K255</f>
        <v>13</v>
      </c>
      <c r="J22" s="55">
        <f>+'Production, Revenue &amp; Profit'!L255</f>
        <v>13</v>
      </c>
      <c r="K22" s="55">
        <f>+'Production, Revenue &amp; Profit'!M255</f>
        <v>13</v>
      </c>
    </row>
    <row r="23" spans="1:11">
      <c r="A23" s="63"/>
      <c r="B23" s="63"/>
      <c r="C23" s="63"/>
      <c r="D23" s="63"/>
      <c r="E23" s="63"/>
      <c r="F23" s="63"/>
      <c r="G23" s="63"/>
      <c r="H23" s="63"/>
      <c r="I23" s="63"/>
      <c r="J23" s="63"/>
      <c r="K23" s="63"/>
    </row>
    <row r="24" spans="1:11">
      <c r="A24" s="65" t="s">
        <v>62</v>
      </c>
      <c r="B24" s="65">
        <f t="shared" ref="B24" si="7">+B17-SUM(B20:B22)</f>
        <v>-1.89</v>
      </c>
      <c r="C24" s="65">
        <f t="shared" ref="C24:I24" si="8">+C17-SUM(C20:C22)</f>
        <v>6.3599999999999497</v>
      </c>
      <c r="D24" s="65">
        <f t="shared" si="8"/>
        <v>50.564173566858834</v>
      </c>
      <c r="E24" s="65">
        <f t="shared" si="8"/>
        <v>157.10223381378228</v>
      </c>
      <c r="F24" s="65">
        <f t="shared" si="8"/>
        <v>164.36116238521086</v>
      </c>
      <c r="G24" s="65">
        <f t="shared" si="8"/>
        <v>198.83850524235373</v>
      </c>
      <c r="H24" s="65">
        <f t="shared" si="8"/>
        <v>218.75333520353425</v>
      </c>
      <c r="I24" s="65">
        <f t="shared" si="8"/>
        <v>228.23024809949661</v>
      </c>
      <c r="J24" s="65">
        <f t="shared" ref="J24:K24" si="9">+J17-SUM(J20:J22)</f>
        <v>253.49629379049065</v>
      </c>
      <c r="K24" s="65">
        <f t="shared" si="9"/>
        <v>236.16953381378235</v>
      </c>
    </row>
    <row r="25" spans="1:11">
      <c r="A25" s="72"/>
      <c r="B25" s="72"/>
      <c r="C25" s="72"/>
      <c r="D25" s="72"/>
      <c r="E25" s="72"/>
      <c r="F25" s="72"/>
      <c r="G25" s="72"/>
      <c r="H25" s="72"/>
      <c r="I25" s="72"/>
      <c r="J25" s="72"/>
      <c r="K25" s="72"/>
    </row>
    <row r="26" spans="1:11">
      <c r="A26" s="72" t="s">
        <v>221</v>
      </c>
      <c r="B26" s="72">
        <v>0</v>
      </c>
      <c r="C26" s="72">
        <f>0.99+4.4</f>
        <v>5.3900000000000006</v>
      </c>
      <c r="D26" s="72">
        <f t="shared" ref="D26:I26" si="10">+D24*0.15</f>
        <v>7.5846260350288244</v>
      </c>
      <c r="E26" s="72">
        <f t="shared" si="10"/>
        <v>23.565335072067342</v>
      </c>
      <c r="F26" s="72">
        <f t="shared" si="10"/>
        <v>24.654174357781628</v>
      </c>
      <c r="G26" s="72">
        <f t="shared" si="10"/>
        <v>29.825775786353059</v>
      </c>
      <c r="H26" s="72">
        <f t="shared" si="10"/>
        <v>32.813000280530133</v>
      </c>
      <c r="I26" s="72">
        <f t="shared" si="10"/>
        <v>34.234537214924487</v>
      </c>
      <c r="J26" s="72">
        <f t="shared" ref="J26:K26" si="11">+J24*0.15</f>
        <v>38.024444068573594</v>
      </c>
      <c r="K26" s="72">
        <f t="shared" si="11"/>
        <v>35.42543007206735</v>
      </c>
    </row>
    <row r="27" spans="1:11">
      <c r="A27" s="72"/>
      <c r="B27" s="72"/>
      <c r="C27" s="72"/>
      <c r="D27" s="72"/>
      <c r="E27" s="72"/>
      <c r="F27" s="72"/>
      <c r="G27" s="72"/>
      <c r="H27" s="72"/>
      <c r="I27" s="72"/>
      <c r="J27" s="72"/>
      <c r="K27" s="72"/>
    </row>
    <row r="28" spans="1:11">
      <c r="A28" s="65" t="s">
        <v>40</v>
      </c>
      <c r="B28" s="65">
        <f t="shared" ref="B28" si="12">+B24-B26</f>
        <v>-1.89</v>
      </c>
      <c r="C28" s="65">
        <f t="shared" ref="C28:I28" si="13">+C24-C26</f>
        <v>0.96999999999994913</v>
      </c>
      <c r="D28" s="65">
        <f t="shared" si="13"/>
        <v>42.979547531830008</v>
      </c>
      <c r="E28" s="65">
        <f t="shared" si="13"/>
        <v>133.53689874171494</v>
      </c>
      <c r="F28" s="65">
        <f t="shared" si="13"/>
        <v>139.70698802742925</v>
      </c>
      <c r="G28" s="65">
        <f t="shared" si="13"/>
        <v>169.01272945600067</v>
      </c>
      <c r="H28" s="65">
        <f t="shared" si="13"/>
        <v>185.94033492300412</v>
      </c>
      <c r="I28" s="65">
        <f t="shared" si="13"/>
        <v>193.99571088457213</v>
      </c>
      <c r="J28" s="65">
        <f t="shared" ref="J28:K28" si="14">+J24-J26</f>
        <v>215.47184972191707</v>
      </c>
      <c r="K28" s="65">
        <f t="shared" si="14"/>
        <v>200.74410374171501</v>
      </c>
    </row>
    <row r="29" spans="1:11">
      <c r="A29" s="71"/>
      <c r="B29" s="78"/>
      <c r="C29" s="78"/>
      <c r="D29" s="78"/>
      <c r="E29" s="78"/>
      <c r="F29" s="78"/>
      <c r="G29" s="78"/>
      <c r="H29" s="78"/>
      <c r="I29" s="78"/>
      <c r="J29" s="78"/>
      <c r="K29" s="78"/>
    </row>
    <row r="30" spans="1:11">
      <c r="A30" s="65" t="s">
        <v>65</v>
      </c>
      <c r="B30" s="65">
        <f>+B28+B20+B15+B22</f>
        <v>-1.89</v>
      </c>
      <c r="C30" s="65">
        <f>+C28+C20+C15+C22</f>
        <v>11.009999999999948</v>
      </c>
      <c r="D30" s="65">
        <f t="shared" ref="D30:I30" si="15">+D28+D20+D15+D22</f>
        <v>135.65348274758</v>
      </c>
      <c r="E30" s="65">
        <f t="shared" si="15"/>
        <v>231.36881236271495</v>
      </c>
      <c r="F30" s="65">
        <f t="shared" si="15"/>
        <v>230.27997307700068</v>
      </c>
      <c r="G30" s="65">
        <f t="shared" si="15"/>
        <v>250.44107164842927</v>
      </c>
      <c r="H30" s="65">
        <f t="shared" si="15"/>
        <v>257.34010568686131</v>
      </c>
      <c r="I30" s="65">
        <f t="shared" si="15"/>
        <v>255.36691021985789</v>
      </c>
      <c r="J30" s="65">
        <f t="shared" ref="J30:K30" si="16">+J28+J20+J15+J22</f>
        <v>269.32162048577419</v>
      </c>
      <c r="K30" s="65">
        <f t="shared" si="16"/>
        <v>254.17601736271502</v>
      </c>
    </row>
    <row r="31" spans="1:11">
      <c r="A31" s="65" t="s">
        <v>54</v>
      </c>
      <c r="B31" s="65">
        <v>0</v>
      </c>
      <c r="C31" s="65">
        <v>0</v>
      </c>
      <c r="D31" s="65">
        <f>+'TL 1 '!G72</f>
        <v>18</v>
      </c>
      <c r="E31" s="65">
        <f>+'TL 1 '!G86</f>
        <v>72</v>
      </c>
      <c r="F31" s="65">
        <f>+'TL 1 '!G100</f>
        <v>79.071428571428584</v>
      </c>
      <c r="G31" s="65">
        <f>+'TL 1 '!G114</f>
        <v>100.28571428571432</v>
      </c>
      <c r="H31" s="65">
        <f>+'TL 1 '!G128</f>
        <v>100.28571428571432</v>
      </c>
      <c r="I31" s="65">
        <f>+'TL 1 '!G142</f>
        <v>100.28571428571432</v>
      </c>
      <c r="J31" s="65">
        <f>+'TL 1 '!G156</f>
        <v>25.071428571428573</v>
      </c>
      <c r="K31" s="65">
        <v>0</v>
      </c>
    </row>
    <row r="32" spans="1:11">
      <c r="A32" s="65" t="s">
        <v>66</v>
      </c>
      <c r="B32" s="65">
        <f>+B20+B22</f>
        <v>0</v>
      </c>
      <c r="C32" s="65">
        <f>+C20+C22</f>
        <v>4.6899999999999995</v>
      </c>
      <c r="D32" s="65">
        <f t="shared" ref="D32:I32" si="17">+D20+D22</f>
        <v>62.35</v>
      </c>
      <c r="E32" s="65">
        <f t="shared" si="17"/>
        <v>57.4</v>
      </c>
      <c r="F32" s="65">
        <f t="shared" si="17"/>
        <v>50.141071428571429</v>
      </c>
      <c r="G32" s="65">
        <f t="shared" si="17"/>
        <v>40.996428571428595</v>
      </c>
      <c r="H32" s="65">
        <f t="shared" si="17"/>
        <v>30.967857142857167</v>
      </c>
      <c r="I32" s="65">
        <f t="shared" si="17"/>
        <v>20.939285714285734</v>
      </c>
      <c r="J32" s="65">
        <f t="shared" ref="J32:K32" si="18">+J20+J22</f>
        <v>13.417857142857159</v>
      </c>
      <c r="K32" s="65">
        <f t="shared" si="18"/>
        <v>13</v>
      </c>
    </row>
    <row r="33" spans="1:11">
      <c r="A33" s="65" t="s">
        <v>67</v>
      </c>
      <c r="B33" s="65">
        <f t="shared" ref="B33" si="19">+B31+B32</f>
        <v>0</v>
      </c>
      <c r="C33" s="65">
        <f t="shared" ref="C33:I33" si="20">+C31+C32</f>
        <v>4.6899999999999995</v>
      </c>
      <c r="D33" s="65">
        <f t="shared" si="20"/>
        <v>80.349999999999994</v>
      </c>
      <c r="E33" s="65">
        <f t="shared" si="20"/>
        <v>129.4</v>
      </c>
      <c r="F33" s="65">
        <f t="shared" si="20"/>
        <v>129.21250000000001</v>
      </c>
      <c r="G33" s="65">
        <f t="shared" si="20"/>
        <v>141.2821428571429</v>
      </c>
      <c r="H33" s="65">
        <f t="shared" si="20"/>
        <v>131.25357142857149</v>
      </c>
      <c r="I33" s="65">
        <f t="shared" si="20"/>
        <v>121.22500000000005</v>
      </c>
      <c r="J33" s="65">
        <f t="shared" ref="J33:K33" si="21">+J31+J32</f>
        <v>38.489285714285728</v>
      </c>
      <c r="K33" s="65">
        <f t="shared" si="21"/>
        <v>13</v>
      </c>
    </row>
    <row r="34" spans="1:11">
      <c r="A34" s="65" t="s">
        <v>64</v>
      </c>
      <c r="B34" s="65" t="e">
        <f t="shared" ref="B34" si="22">+B30/B33</f>
        <v>#DIV/0!</v>
      </c>
      <c r="C34" s="65">
        <f t="shared" ref="C34:I34" si="23">+C30/C33</f>
        <v>2.3475479744136352</v>
      </c>
      <c r="D34" s="65">
        <f t="shared" si="23"/>
        <v>1.6882822992853765</v>
      </c>
      <c r="E34" s="65">
        <f t="shared" si="23"/>
        <v>1.788012460299188</v>
      </c>
      <c r="F34" s="65">
        <f t="shared" si="23"/>
        <v>1.7821803082286982</v>
      </c>
      <c r="G34" s="65">
        <f t="shared" si="23"/>
        <v>1.7726307556197116</v>
      </c>
      <c r="H34" s="65">
        <f t="shared" si="23"/>
        <v>1.9606331689565217</v>
      </c>
      <c r="I34" s="65">
        <f t="shared" si="23"/>
        <v>2.1065531880375978</v>
      </c>
      <c r="J34" s="65">
        <f t="shared" ref="J34:K34" si="24">+J30/J33</f>
        <v>6.9973140703365262</v>
      </c>
      <c r="K34" s="65">
        <f t="shared" si="24"/>
        <v>19.552001335593463</v>
      </c>
    </row>
    <row r="35" spans="1:11">
      <c r="D35" s="68"/>
      <c r="E35" s="68"/>
      <c r="F35" s="68"/>
      <c r="G35" s="68"/>
      <c r="H35" s="68"/>
      <c r="I35" s="68"/>
    </row>
    <row r="36" spans="1:11">
      <c r="D36" s="68"/>
      <c r="E36" s="68"/>
      <c r="F36" s="68"/>
      <c r="G36" s="68"/>
      <c r="H36" s="68"/>
      <c r="I36" s="68"/>
    </row>
    <row r="37" spans="1:11">
      <c r="A37" s="84"/>
      <c r="B37" s="84"/>
      <c r="C37" s="68"/>
      <c r="D37" s="68"/>
      <c r="E37" s="68"/>
      <c r="F37" s="68"/>
      <c r="G37" s="68"/>
      <c r="H37" s="68"/>
      <c r="I37" s="68"/>
      <c r="J37" s="68"/>
      <c r="K37" s="68"/>
    </row>
    <row r="38" spans="1:11">
      <c r="C38" s="68"/>
      <c r="D38" s="68"/>
      <c r="E38" s="68"/>
      <c r="F38" s="68"/>
      <c r="G38" s="68"/>
      <c r="H38" s="68"/>
      <c r="I38" s="68"/>
      <c r="J38" s="68"/>
      <c r="K38" s="68"/>
    </row>
    <row r="39" spans="1:11">
      <c r="C39" s="68"/>
      <c r="D39" s="68"/>
      <c r="E39" s="68"/>
      <c r="F39" s="68"/>
      <c r="G39" s="68"/>
      <c r="H39" s="68"/>
      <c r="I39" s="68"/>
      <c r="J39" s="68"/>
      <c r="K39" s="68"/>
    </row>
  </sheetData>
  <mergeCells count="2">
    <mergeCell ref="A1:K1"/>
    <mergeCell ref="A3:K3"/>
  </mergeCells>
  <pageMargins left="0.7" right="0.7" top="0.75" bottom="0.75" header="0.3" footer="0.3"/>
  <pageSetup paperSize="9" scale="82" orientation="landscape" r:id="rId1"/>
  <headerFooter>
    <oddHeader>&amp;C&amp;"Book Antiqua,Bold"&amp;13</oddHeader>
    <oddFooter>&amp;C&amp;"-,Bold"&amp;12Prepared by JNR Corporate Advisory Services Private Limited, Contact details: jnr4india@gmail.com, +918602267779, +918962611446</oddFooter>
  </headerFooter>
  <rowBreaks count="1" manualBreakCount="1">
    <brk id="35"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2:N258"/>
  <sheetViews>
    <sheetView showGridLines="0" view="pageBreakPreview" topLeftCell="A234" zoomScaleSheetLayoutView="100" workbookViewId="0">
      <selection activeCell="L263" sqref="L263"/>
    </sheetView>
  </sheetViews>
  <sheetFormatPr defaultColWidth="9.1796875" defaultRowHeight="15.5"/>
  <cols>
    <col min="1" max="1" width="45" style="1" customWidth="1"/>
    <col min="2" max="2" width="11.54296875" style="1" bestFit="1" customWidth="1"/>
    <col min="3" max="3" width="11.26953125" style="1" customWidth="1"/>
    <col min="4" max="4" width="15.90625" style="1" bestFit="1" customWidth="1"/>
    <col min="5" max="5" width="9.36328125" style="1" bestFit="1" customWidth="1"/>
    <col min="6" max="6" width="10.36328125" style="1" bestFit="1" customWidth="1"/>
    <col min="7" max="13" width="13.26953125" style="1" customWidth="1"/>
    <col min="14" max="14" width="6.7265625" style="1" bestFit="1" customWidth="1"/>
    <col min="15" max="16384" width="9.1796875" style="1"/>
  </cols>
  <sheetData>
    <row r="2" spans="1:14" ht="23.5">
      <c r="A2" s="35" t="s">
        <v>113</v>
      </c>
    </row>
    <row r="4" spans="1:14" ht="20">
      <c r="A4" s="626" t="s">
        <v>366</v>
      </c>
      <c r="B4" s="627"/>
      <c r="C4" s="627"/>
      <c r="D4" s="627"/>
      <c r="E4" s="627"/>
      <c r="F4" s="627"/>
      <c r="G4" s="627"/>
      <c r="H4" s="627"/>
      <c r="I4" s="627"/>
      <c r="J4" s="627"/>
      <c r="K4" s="627"/>
      <c r="L4" s="627"/>
      <c r="M4" s="627"/>
    </row>
    <row r="5" spans="1:14" ht="15.75" customHeight="1">
      <c r="A5" s="102" t="s">
        <v>1</v>
      </c>
      <c r="B5" s="97"/>
      <c r="C5" s="97"/>
      <c r="D5" s="97"/>
      <c r="E5" s="97"/>
      <c r="F5" s="97"/>
      <c r="G5" s="97"/>
      <c r="H5" s="97"/>
      <c r="I5" s="97"/>
      <c r="J5" s="97"/>
      <c r="K5" s="97"/>
      <c r="L5" s="97"/>
      <c r="M5" s="97"/>
    </row>
    <row r="6" spans="1:14" ht="33" customHeight="1">
      <c r="A6" s="102"/>
      <c r="B6" s="156"/>
      <c r="C6" s="296" t="s">
        <v>234</v>
      </c>
      <c r="D6" s="296" t="s">
        <v>142</v>
      </c>
      <c r="E6" s="297" t="s">
        <v>20</v>
      </c>
      <c r="F6" s="297" t="s">
        <v>21</v>
      </c>
      <c r="G6" s="297" t="s">
        <v>27</v>
      </c>
      <c r="H6" s="297" t="s">
        <v>28</v>
      </c>
      <c r="I6" s="297" t="s">
        <v>57</v>
      </c>
      <c r="J6" s="297" t="s">
        <v>138</v>
      </c>
      <c r="K6" s="297" t="s">
        <v>225</v>
      </c>
      <c r="L6" s="297" t="s">
        <v>729</v>
      </c>
      <c r="M6" s="297" t="s">
        <v>730</v>
      </c>
    </row>
    <row r="7" spans="1:14" ht="19.5" customHeight="1">
      <c r="A7" s="157"/>
      <c r="B7" s="20"/>
      <c r="C7" s="20"/>
      <c r="D7" s="20"/>
      <c r="E7" s="20"/>
      <c r="F7" s="20"/>
      <c r="G7" s="20"/>
      <c r="H7" s="20"/>
      <c r="I7" s="20"/>
      <c r="J7" s="20"/>
      <c r="K7" s="20"/>
      <c r="L7" s="20"/>
      <c r="M7" s="20"/>
    </row>
    <row r="8" spans="1:14" ht="19.5" customHeight="1">
      <c r="A8" s="234" t="s">
        <v>233</v>
      </c>
      <c r="B8" s="158">
        <v>5500</v>
      </c>
      <c r="C8" s="158">
        <v>2</v>
      </c>
      <c r="D8" s="158">
        <v>4</v>
      </c>
      <c r="E8" s="158">
        <v>0</v>
      </c>
      <c r="F8" s="158">
        <v>9</v>
      </c>
      <c r="G8" s="158">
        <v>3</v>
      </c>
      <c r="H8" s="158"/>
      <c r="I8" s="158"/>
      <c r="J8" s="158"/>
      <c r="K8" s="158"/>
      <c r="L8" s="158"/>
      <c r="M8" s="158"/>
    </row>
    <row r="9" spans="1:14" ht="20.25" customHeight="1">
      <c r="A9" s="159" t="s">
        <v>306</v>
      </c>
      <c r="B9" s="158">
        <v>5500</v>
      </c>
      <c r="C9" s="158">
        <v>2</v>
      </c>
      <c r="D9" s="235">
        <v>4</v>
      </c>
      <c r="E9" s="235">
        <v>0</v>
      </c>
      <c r="F9" s="235">
        <v>7</v>
      </c>
      <c r="G9" s="235">
        <v>5</v>
      </c>
      <c r="H9" s="230"/>
      <c r="I9" s="230"/>
      <c r="J9" s="230"/>
      <c r="K9" s="230"/>
      <c r="L9" s="230"/>
      <c r="M9" s="230"/>
    </row>
    <row r="10" spans="1:14">
      <c r="A10" s="236" t="s">
        <v>307</v>
      </c>
      <c r="B10" s="158">
        <v>5500</v>
      </c>
      <c r="C10" s="158">
        <v>2</v>
      </c>
      <c r="D10" s="235">
        <v>4</v>
      </c>
      <c r="E10" s="232">
        <v>0</v>
      </c>
      <c r="F10" s="232">
        <v>5</v>
      </c>
      <c r="G10" s="232">
        <v>7</v>
      </c>
      <c r="H10" s="231"/>
      <c r="I10" s="231"/>
      <c r="J10" s="231"/>
      <c r="K10" s="231"/>
      <c r="L10" s="231"/>
      <c r="M10" s="231"/>
    </row>
    <row r="11" spans="1:14">
      <c r="A11" s="234" t="s">
        <v>308</v>
      </c>
      <c r="B11" s="158">
        <v>5500</v>
      </c>
      <c r="C11" s="158">
        <v>2</v>
      </c>
      <c r="D11" s="235">
        <v>4</v>
      </c>
      <c r="E11" s="232">
        <v>0</v>
      </c>
      <c r="F11" s="158">
        <v>3</v>
      </c>
      <c r="G11" s="158">
        <v>9</v>
      </c>
      <c r="H11" s="231"/>
      <c r="I11" s="231"/>
      <c r="J11" s="231"/>
      <c r="K11" s="231"/>
      <c r="L11" s="231"/>
      <c r="M11" s="231"/>
    </row>
    <row r="12" spans="1:14">
      <c r="A12" s="289" t="s">
        <v>309</v>
      </c>
      <c r="B12" s="290">
        <v>5500</v>
      </c>
      <c r="C12" s="290">
        <v>2</v>
      </c>
      <c r="D12" s="291">
        <v>4</v>
      </c>
      <c r="E12" s="292">
        <v>0</v>
      </c>
      <c r="F12" s="291">
        <v>0</v>
      </c>
      <c r="G12" s="291">
        <v>8</v>
      </c>
      <c r="H12" s="292">
        <v>4</v>
      </c>
      <c r="I12" s="292"/>
      <c r="J12" s="292"/>
      <c r="K12" s="292"/>
      <c r="L12" s="292"/>
      <c r="M12" s="292"/>
    </row>
    <row r="13" spans="1:14">
      <c r="A13" s="236" t="s">
        <v>310</v>
      </c>
      <c r="B13" s="158">
        <v>5500</v>
      </c>
      <c r="C13" s="158">
        <v>2</v>
      </c>
      <c r="D13" s="235">
        <v>4</v>
      </c>
      <c r="E13" s="232">
        <v>0</v>
      </c>
      <c r="F13" s="232">
        <v>0</v>
      </c>
      <c r="G13" s="232">
        <v>6</v>
      </c>
      <c r="H13" s="232">
        <v>6</v>
      </c>
      <c r="I13" s="232"/>
      <c r="J13" s="232"/>
      <c r="K13" s="232"/>
      <c r="L13" s="232"/>
      <c r="M13" s="232"/>
      <c r="N13" s="1">
        <f>60*300</f>
        <v>18000</v>
      </c>
    </row>
    <row r="14" spans="1:14" ht="21.75" customHeight="1">
      <c r="A14" s="234" t="s">
        <v>311</v>
      </c>
      <c r="B14" s="158">
        <v>5500</v>
      </c>
      <c r="C14" s="158">
        <v>2</v>
      </c>
      <c r="D14" s="235">
        <v>4</v>
      </c>
      <c r="E14" s="232">
        <v>0</v>
      </c>
      <c r="F14" s="232">
        <v>0</v>
      </c>
      <c r="G14" s="158">
        <v>4</v>
      </c>
      <c r="H14" s="158">
        <v>8</v>
      </c>
      <c r="I14" s="232"/>
      <c r="J14" s="232"/>
      <c r="K14" s="232"/>
      <c r="L14" s="232"/>
      <c r="M14" s="232"/>
    </row>
    <row r="15" spans="1:14">
      <c r="A15" s="159" t="s">
        <v>312</v>
      </c>
      <c r="B15" s="158">
        <v>5500</v>
      </c>
      <c r="C15" s="158">
        <v>2</v>
      </c>
      <c r="D15" s="235">
        <v>4</v>
      </c>
      <c r="E15" s="232">
        <v>0</v>
      </c>
      <c r="F15" s="232">
        <v>0</v>
      </c>
      <c r="G15" s="235">
        <v>2</v>
      </c>
      <c r="H15" s="235">
        <v>10</v>
      </c>
      <c r="I15" s="232"/>
      <c r="J15" s="232"/>
      <c r="K15" s="232"/>
      <c r="L15" s="232"/>
      <c r="M15" s="232"/>
    </row>
    <row r="16" spans="1:14">
      <c r="A16" s="293" t="s">
        <v>313</v>
      </c>
      <c r="B16" s="290">
        <v>5500</v>
      </c>
      <c r="C16" s="290">
        <v>2</v>
      </c>
      <c r="D16" s="291">
        <v>4</v>
      </c>
      <c r="E16" s="292">
        <v>0</v>
      </c>
      <c r="F16" s="292">
        <v>0</v>
      </c>
      <c r="G16" s="292">
        <v>0</v>
      </c>
      <c r="H16" s="292">
        <v>7</v>
      </c>
      <c r="I16" s="265">
        <v>5</v>
      </c>
      <c r="J16" s="292"/>
      <c r="K16" s="292">
        <v>0</v>
      </c>
      <c r="L16" s="292"/>
      <c r="M16" s="292"/>
    </row>
    <row r="17" spans="1:13">
      <c r="A17" s="234" t="s">
        <v>314</v>
      </c>
      <c r="B17" s="158">
        <v>5500</v>
      </c>
      <c r="C17" s="158">
        <v>2</v>
      </c>
      <c r="D17" s="235">
        <v>4</v>
      </c>
      <c r="E17" s="232">
        <v>0</v>
      </c>
      <c r="F17" s="232">
        <v>0</v>
      </c>
      <c r="G17" s="232">
        <v>0</v>
      </c>
      <c r="H17" s="158">
        <v>5</v>
      </c>
      <c r="I17" s="158">
        <v>7</v>
      </c>
      <c r="J17" s="232"/>
      <c r="K17" s="232"/>
      <c r="L17" s="232"/>
      <c r="M17" s="232"/>
    </row>
    <row r="18" spans="1:13">
      <c r="A18" s="159" t="s">
        <v>315</v>
      </c>
      <c r="B18" s="158">
        <v>5500</v>
      </c>
      <c r="C18" s="158">
        <v>2</v>
      </c>
      <c r="D18" s="235">
        <v>4</v>
      </c>
      <c r="E18" s="232">
        <v>0</v>
      </c>
      <c r="F18" s="232">
        <v>0</v>
      </c>
      <c r="G18" s="232">
        <v>0</v>
      </c>
      <c r="H18" s="235">
        <v>3</v>
      </c>
      <c r="I18" s="235">
        <v>9</v>
      </c>
      <c r="J18" s="232"/>
      <c r="K18" s="232"/>
      <c r="L18" s="232"/>
      <c r="M18" s="232"/>
    </row>
    <row r="19" spans="1:13">
      <c r="A19" s="236" t="s">
        <v>316</v>
      </c>
      <c r="B19" s="158">
        <v>5500</v>
      </c>
      <c r="C19" s="158">
        <v>2</v>
      </c>
      <c r="D19" s="235">
        <v>4</v>
      </c>
      <c r="E19" s="232">
        <v>0</v>
      </c>
      <c r="F19" s="232">
        <v>0</v>
      </c>
      <c r="G19" s="232">
        <v>0</v>
      </c>
      <c r="H19" s="232">
        <v>1</v>
      </c>
      <c r="I19" s="232">
        <v>11</v>
      </c>
      <c r="J19" s="232"/>
      <c r="K19" s="232"/>
      <c r="L19" s="232"/>
      <c r="M19" s="232"/>
    </row>
    <row r="20" spans="1:13">
      <c r="A20" s="293" t="s">
        <v>317</v>
      </c>
      <c r="B20" s="290">
        <v>5500</v>
      </c>
      <c r="C20" s="290">
        <v>2</v>
      </c>
      <c r="D20" s="291">
        <v>4</v>
      </c>
      <c r="E20" s="292">
        <v>0</v>
      </c>
      <c r="F20" s="292">
        <v>0</v>
      </c>
      <c r="G20" s="292">
        <v>0</v>
      </c>
      <c r="H20" s="292">
        <v>0</v>
      </c>
      <c r="I20" s="290">
        <v>6</v>
      </c>
      <c r="J20" s="290">
        <v>6</v>
      </c>
      <c r="K20" s="292">
        <v>0</v>
      </c>
      <c r="L20" s="292"/>
      <c r="M20" s="292"/>
    </row>
    <row r="21" spans="1:13">
      <c r="A21" s="286" t="s">
        <v>318</v>
      </c>
      <c r="B21" s="158">
        <v>5500</v>
      </c>
      <c r="C21" s="158">
        <v>2</v>
      </c>
      <c r="D21" s="235">
        <v>4</v>
      </c>
      <c r="E21" s="232">
        <v>0</v>
      </c>
      <c r="F21" s="232">
        <v>0</v>
      </c>
      <c r="G21" s="232">
        <v>0</v>
      </c>
      <c r="H21" s="232"/>
      <c r="I21" s="235">
        <v>4</v>
      </c>
      <c r="J21" s="235">
        <v>8</v>
      </c>
      <c r="K21" s="232"/>
      <c r="L21" s="232"/>
      <c r="M21" s="232"/>
    </row>
    <row r="22" spans="1:13">
      <c r="A22" s="286" t="s">
        <v>319</v>
      </c>
      <c r="B22" s="158">
        <v>5500</v>
      </c>
      <c r="C22" s="158">
        <v>2</v>
      </c>
      <c r="D22" s="235">
        <v>4</v>
      </c>
      <c r="E22" s="232">
        <v>0</v>
      </c>
      <c r="F22" s="232">
        <v>0</v>
      </c>
      <c r="G22" s="232">
        <v>0</v>
      </c>
      <c r="H22" s="232"/>
      <c r="I22" s="232">
        <v>2</v>
      </c>
      <c r="J22" s="232">
        <v>10</v>
      </c>
      <c r="K22" s="232"/>
      <c r="L22" s="232"/>
      <c r="M22" s="232"/>
    </row>
    <row r="23" spans="1:13">
      <c r="A23" s="286" t="s">
        <v>320</v>
      </c>
      <c r="B23" s="158">
        <v>5500</v>
      </c>
      <c r="C23" s="158">
        <v>2</v>
      </c>
      <c r="D23" s="235">
        <v>4</v>
      </c>
      <c r="E23" s="232">
        <v>0</v>
      </c>
      <c r="F23" s="232">
        <v>0</v>
      </c>
      <c r="G23" s="232">
        <v>0</v>
      </c>
      <c r="H23" s="232"/>
      <c r="I23" s="158">
        <v>0</v>
      </c>
      <c r="J23" s="158">
        <v>12</v>
      </c>
      <c r="K23" s="2"/>
      <c r="L23" s="2"/>
      <c r="M23" s="2"/>
    </row>
    <row r="24" spans="1:13">
      <c r="A24" s="293" t="s">
        <v>321</v>
      </c>
      <c r="B24" s="290">
        <v>5500</v>
      </c>
      <c r="C24" s="290">
        <v>2</v>
      </c>
      <c r="D24" s="291">
        <v>4</v>
      </c>
      <c r="E24" s="292">
        <v>0</v>
      </c>
      <c r="F24" s="292">
        <v>0</v>
      </c>
      <c r="G24" s="292">
        <v>0</v>
      </c>
      <c r="H24" s="292"/>
      <c r="I24" s="292">
        <v>0</v>
      </c>
      <c r="J24" s="291">
        <v>5</v>
      </c>
      <c r="K24" s="291">
        <v>7</v>
      </c>
      <c r="L24" s="291"/>
      <c r="M24" s="291"/>
    </row>
    <row r="25" spans="1:13">
      <c r="A25" s="286" t="s">
        <v>322</v>
      </c>
      <c r="B25" s="158">
        <v>5500</v>
      </c>
      <c r="C25" s="158">
        <v>2</v>
      </c>
      <c r="D25" s="235">
        <v>4</v>
      </c>
      <c r="E25" s="232">
        <v>0</v>
      </c>
      <c r="F25" s="232">
        <v>0</v>
      </c>
      <c r="G25" s="232">
        <v>0</v>
      </c>
      <c r="H25" s="232">
        <v>0</v>
      </c>
      <c r="I25" s="232"/>
      <c r="J25" s="232">
        <v>3</v>
      </c>
      <c r="K25" s="232">
        <v>9</v>
      </c>
      <c r="L25" s="232"/>
      <c r="M25" s="232"/>
    </row>
    <row r="26" spans="1:13">
      <c r="A26" s="286" t="s">
        <v>323</v>
      </c>
      <c r="B26" s="158">
        <v>5500</v>
      </c>
      <c r="C26" s="158">
        <v>2</v>
      </c>
      <c r="D26" s="235">
        <v>4</v>
      </c>
      <c r="E26" s="232">
        <v>0</v>
      </c>
      <c r="F26" s="232">
        <v>0</v>
      </c>
      <c r="G26" s="232">
        <v>0</v>
      </c>
      <c r="H26" s="232">
        <v>0</v>
      </c>
      <c r="I26" s="232">
        <v>0</v>
      </c>
      <c r="J26" s="232">
        <v>1</v>
      </c>
      <c r="K26" s="158">
        <v>11</v>
      </c>
      <c r="L26" s="158"/>
      <c r="M26" s="158"/>
    </row>
    <row r="27" spans="1:13">
      <c r="A27" s="286" t="s">
        <v>324</v>
      </c>
      <c r="B27" s="158">
        <v>5500</v>
      </c>
      <c r="C27" s="158">
        <v>2</v>
      </c>
      <c r="D27" s="235">
        <v>4</v>
      </c>
      <c r="E27" s="232">
        <v>0</v>
      </c>
      <c r="F27" s="232">
        <v>0</v>
      </c>
      <c r="G27" s="232">
        <v>0</v>
      </c>
      <c r="H27" s="232">
        <v>0</v>
      </c>
      <c r="I27" s="232">
        <v>0</v>
      </c>
      <c r="J27" s="232">
        <v>0</v>
      </c>
      <c r="K27" s="235">
        <v>11</v>
      </c>
      <c r="L27" s="235">
        <v>1</v>
      </c>
      <c r="M27" s="235"/>
    </row>
    <row r="28" spans="1:13">
      <c r="A28" s="294" t="s">
        <v>325</v>
      </c>
      <c r="B28" s="290">
        <v>5500</v>
      </c>
      <c r="C28" s="290">
        <v>2</v>
      </c>
      <c r="D28" s="291">
        <v>4</v>
      </c>
      <c r="E28" s="292"/>
      <c r="F28" s="292"/>
      <c r="G28" s="292"/>
      <c r="H28" s="292"/>
      <c r="I28" s="292"/>
      <c r="J28" s="292">
        <v>0</v>
      </c>
      <c r="K28" s="292">
        <v>4</v>
      </c>
      <c r="L28" s="292">
        <v>8</v>
      </c>
      <c r="M28" s="292"/>
    </row>
    <row r="29" spans="1:13">
      <c r="A29" s="286" t="s">
        <v>326</v>
      </c>
      <c r="B29" s="158">
        <v>5500</v>
      </c>
      <c r="C29" s="158">
        <v>2</v>
      </c>
      <c r="D29" s="235">
        <v>4</v>
      </c>
      <c r="E29" s="232"/>
      <c r="F29" s="232"/>
      <c r="G29" s="232"/>
      <c r="H29" s="232"/>
      <c r="I29" s="232"/>
      <c r="J29" s="232">
        <v>0</v>
      </c>
      <c r="K29" s="232">
        <v>2</v>
      </c>
      <c r="L29" s="232">
        <v>10</v>
      </c>
      <c r="M29" s="232"/>
    </row>
    <row r="30" spans="1:13">
      <c r="A30" s="286" t="s">
        <v>327</v>
      </c>
      <c r="B30" s="158">
        <v>5500</v>
      </c>
      <c r="C30" s="158">
        <v>2</v>
      </c>
      <c r="D30" s="235">
        <v>4</v>
      </c>
      <c r="E30" s="232"/>
      <c r="F30" s="232"/>
      <c r="G30" s="232"/>
      <c r="H30" s="232"/>
      <c r="I30" s="232"/>
      <c r="J30" s="232"/>
      <c r="K30" s="232">
        <v>0</v>
      </c>
      <c r="L30" s="232">
        <v>12</v>
      </c>
      <c r="M30" s="232">
        <v>0</v>
      </c>
    </row>
    <row r="31" spans="1:13">
      <c r="A31" s="286" t="s">
        <v>328</v>
      </c>
      <c r="B31" s="158">
        <v>5500</v>
      </c>
      <c r="C31" s="158">
        <v>2</v>
      </c>
      <c r="D31" s="235">
        <v>4</v>
      </c>
      <c r="E31" s="232"/>
      <c r="F31" s="232"/>
      <c r="G31" s="232"/>
      <c r="H31" s="232"/>
      <c r="I31" s="232"/>
      <c r="J31" s="232"/>
      <c r="K31" s="232">
        <v>0</v>
      </c>
      <c r="L31" s="232">
        <v>10</v>
      </c>
      <c r="M31" s="232">
        <v>2</v>
      </c>
    </row>
    <row r="32" spans="1:13">
      <c r="A32" s="294" t="s">
        <v>742</v>
      </c>
      <c r="B32" s="290">
        <v>5500</v>
      </c>
      <c r="C32" s="290">
        <v>2</v>
      </c>
      <c r="D32" s="291">
        <v>4</v>
      </c>
      <c r="E32" s="292"/>
      <c r="F32" s="292"/>
      <c r="G32" s="292"/>
      <c r="H32" s="292"/>
      <c r="I32" s="292"/>
      <c r="J32" s="292"/>
      <c r="K32" s="292"/>
      <c r="L32" s="292">
        <v>3</v>
      </c>
      <c r="M32" s="292">
        <v>9</v>
      </c>
    </row>
    <row r="33" spans="1:13">
      <c r="A33" s="286" t="s">
        <v>743</v>
      </c>
      <c r="B33" s="158">
        <v>5500</v>
      </c>
      <c r="C33" s="158">
        <v>2</v>
      </c>
      <c r="D33" s="235">
        <v>4</v>
      </c>
      <c r="E33" s="232"/>
      <c r="F33" s="232"/>
      <c r="G33" s="232"/>
      <c r="H33" s="232"/>
      <c r="I33" s="232"/>
      <c r="J33" s="232"/>
      <c r="K33" s="232"/>
      <c r="L33" s="232">
        <v>1</v>
      </c>
      <c r="M33" s="232">
        <v>11</v>
      </c>
    </row>
    <row r="34" spans="1:13">
      <c r="A34" s="286" t="s">
        <v>744</v>
      </c>
      <c r="B34" s="158">
        <v>5500</v>
      </c>
      <c r="C34" s="158">
        <v>2</v>
      </c>
      <c r="D34" s="235">
        <v>4</v>
      </c>
      <c r="E34" s="232"/>
      <c r="F34" s="232"/>
      <c r="G34" s="232"/>
      <c r="H34" s="232"/>
      <c r="I34" s="232"/>
      <c r="J34" s="232"/>
      <c r="K34" s="232"/>
      <c r="L34" s="232"/>
      <c r="M34" s="232">
        <v>11</v>
      </c>
    </row>
    <row r="35" spans="1:13">
      <c r="A35" s="286" t="s">
        <v>745</v>
      </c>
      <c r="B35" s="158">
        <v>5500</v>
      </c>
      <c r="C35" s="158">
        <v>2</v>
      </c>
      <c r="D35" s="235">
        <v>4</v>
      </c>
      <c r="E35" s="232"/>
      <c r="F35" s="232"/>
      <c r="G35" s="232"/>
      <c r="H35" s="232"/>
      <c r="I35" s="232"/>
      <c r="J35" s="232"/>
      <c r="K35" s="232"/>
      <c r="L35" s="232"/>
      <c r="M35" s="232">
        <v>9</v>
      </c>
    </row>
    <row r="36" spans="1:13">
      <c r="A36" s="294" t="s">
        <v>746</v>
      </c>
      <c r="B36" s="290">
        <v>5500</v>
      </c>
      <c r="C36" s="290">
        <v>2</v>
      </c>
      <c r="D36" s="291">
        <v>4</v>
      </c>
      <c r="E36" s="292"/>
      <c r="F36" s="292"/>
      <c r="G36" s="292"/>
      <c r="H36" s="292"/>
      <c r="I36" s="292"/>
      <c r="J36" s="292"/>
      <c r="K36" s="292"/>
      <c r="L36" s="292"/>
      <c r="M36" s="292">
        <v>2</v>
      </c>
    </row>
    <row r="37" spans="1:13">
      <c r="A37" s="286"/>
      <c r="B37" s="158"/>
      <c r="C37" s="158"/>
      <c r="D37" s="235"/>
      <c r="E37" s="232"/>
      <c r="F37" s="232"/>
      <c r="G37" s="232"/>
      <c r="H37" s="232"/>
      <c r="I37" s="232"/>
      <c r="J37" s="232"/>
      <c r="K37" s="232"/>
      <c r="L37" s="232"/>
      <c r="M37" s="232"/>
    </row>
    <row r="38" spans="1:13">
      <c r="A38" s="233" t="s">
        <v>365</v>
      </c>
      <c r="B38" s="232"/>
      <c r="C38" s="232"/>
      <c r="D38" s="232"/>
      <c r="E38" s="232">
        <f t="shared" ref="E38" si="0">+SUM(E7:E31)</f>
        <v>0</v>
      </c>
      <c r="F38" s="232">
        <f>+SUM(F8:F37)</f>
        <v>24</v>
      </c>
      <c r="G38" s="232">
        <f t="shared" ref="G38:M38" si="1">+SUM(G8:G37)</f>
        <v>44</v>
      </c>
      <c r="H38" s="232">
        <f t="shared" si="1"/>
        <v>44</v>
      </c>
      <c r="I38" s="232">
        <f t="shared" si="1"/>
        <v>44</v>
      </c>
      <c r="J38" s="232">
        <f t="shared" si="1"/>
        <v>45</v>
      </c>
      <c r="K38" s="232">
        <f t="shared" si="1"/>
        <v>44</v>
      </c>
      <c r="L38" s="232">
        <f t="shared" si="1"/>
        <v>45</v>
      </c>
      <c r="M38" s="232">
        <f t="shared" si="1"/>
        <v>44</v>
      </c>
    </row>
    <row r="39" spans="1:13">
      <c r="A39" s="324" t="s">
        <v>375</v>
      </c>
      <c r="B39" s="325"/>
      <c r="C39" s="325"/>
      <c r="D39" s="325"/>
      <c r="E39" s="326">
        <v>0</v>
      </c>
      <c r="F39" s="326">
        <v>1</v>
      </c>
      <c r="G39" s="326">
        <v>1</v>
      </c>
      <c r="H39" s="326">
        <v>1</v>
      </c>
      <c r="I39" s="326">
        <v>1</v>
      </c>
      <c r="J39" s="326">
        <v>1</v>
      </c>
      <c r="K39" s="326">
        <v>1</v>
      </c>
      <c r="L39" s="326">
        <v>1</v>
      </c>
      <c r="M39" s="326">
        <v>1</v>
      </c>
    </row>
    <row r="40" spans="1:13">
      <c r="A40" s="327" t="s">
        <v>376</v>
      </c>
      <c r="B40" s="328"/>
      <c r="C40" s="328"/>
      <c r="D40" s="328"/>
      <c r="E40" s="329">
        <f t="shared" ref="E40:K40" si="2">+E38*E39</f>
        <v>0</v>
      </c>
      <c r="F40" s="329">
        <f t="shared" si="2"/>
        <v>24</v>
      </c>
      <c r="G40" s="329">
        <f t="shared" si="2"/>
        <v>44</v>
      </c>
      <c r="H40" s="329">
        <f t="shared" si="2"/>
        <v>44</v>
      </c>
      <c r="I40" s="329">
        <f t="shared" si="2"/>
        <v>44</v>
      </c>
      <c r="J40" s="329">
        <f t="shared" si="2"/>
        <v>45</v>
      </c>
      <c r="K40" s="329">
        <f t="shared" si="2"/>
        <v>44</v>
      </c>
      <c r="L40" s="329">
        <f t="shared" ref="L40:M40" si="3">+L38*L39</f>
        <v>45</v>
      </c>
      <c r="M40" s="329">
        <f t="shared" si="3"/>
        <v>44</v>
      </c>
    </row>
    <row r="41" spans="1:13">
      <c r="A41" s="324"/>
      <c r="B41" s="325"/>
      <c r="C41" s="325"/>
      <c r="D41" s="325"/>
      <c r="E41" s="325"/>
      <c r="F41" s="325"/>
      <c r="G41" s="325"/>
      <c r="H41" s="325"/>
      <c r="I41" s="325"/>
      <c r="J41" s="325"/>
      <c r="K41" s="325"/>
      <c r="L41" s="325"/>
      <c r="M41" s="325"/>
    </row>
    <row r="42" spans="1:13">
      <c r="A42" s="324"/>
      <c r="B42" s="325"/>
      <c r="C42" s="325"/>
      <c r="D42" s="325"/>
      <c r="E42" s="325"/>
      <c r="F42" s="325"/>
      <c r="G42" s="325"/>
      <c r="H42" s="325"/>
      <c r="I42" s="325"/>
      <c r="J42" s="325"/>
      <c r="K42" s="325"/>
      <c r="L42" s="325"/>
      <c r="M42" s="325"/>
    </row>
    <row r="43" spans="1:13">
      <c r="A43" s="324"/>
      <c r="B43" s="325"/>
      <c r="C43" s="325"/>
      <c r="D43" s="325"/>
      <c r="E43" s="325"/>
      <c r="F43" s="325"/>
      <c r="G43" s="325"/>
      <c r="H43" s="325"/>
      <c r="I43" s="325"/>
      <c r="J43" s="325"/>
      <c r="K43" s="325"/>
      <c r="L43" s="325"/>
      <c r="M43" s="325"/>
    </row>
    <row r="44" spans="1:13">
      <c r="A44" s="240" t="s">
        <v>151</v>
      </c>
      <c r="B44" s="244"/>
      <c r="C44" s="244"/>
      <c r="D44" s="244"/>
      <c r="E44" s="244"/>
      <c r="F44" s="244"/>
      <c r="G44" s="244"/>
      <c r="H44" s="244"/>
      <c r="I44" s="244"/>
      <c r="J44" s="244"/>
      <c r="K44" s="244"/>
      <c r="L44" s="244"/>
      <c r="M44" s="244"/>
    </row>
    <row r="45" spans="1:13">
      <c r="A45" s="229"/>
      <c r="B45" s="237"/>
      <c r="C45" s="237"/>
      <c r="D45" s="237"/>
      <c r="E45" s="237"/>
      <c r="F45" s="237"/>
      <c r="G45" s="237"/>
      <c r="H45" s="237"/>
      <c r="I45" s="237"/>
      <c r="J45" s="237"/>
      <c r="K45" s="237"/>
      <c r="L45" s="237"/>
      <c r="M45" s="237"/>
    </row>
    <row r="46" spans="1:13" ht="31">
      <c r="A46" s="239" t="s">
        <v>251</v>
      </c>
      <c r="B46" s="237"/>
      <c r="C46" s="237"/>
      <c r="D46" s="237"/>
      <c r="E46" s="237">
        <v>300</v>
      </c>
      <c r="F46" s="237">
        <v>300</v>
      </c>
      <c r="G46" s="237">
        <v>300</v>
      </c>
      <c r="H46" s="237">
        <v>300</v>
      </c>
      <c r="I46" s="237">
        <v>300</v>
      </c>
      <c r="J46" s="237">
        <v>300</v>
      </c>
      <c r="K46" s="237">
        <v>300</v>
      </c>
      <c r="L46" s="237">
        <v>300</v>
      </c>
      <c r="M46" s="237">
        <v>300</v>
      </c>
    </row>
    <row r="47" spans="1:13">
      <c r="A47" s="229" t="s">
        <v>252</v>
      </c>
      <c r="B47" s="237"/>
      <c r="C47" s="237"/>
      <c r="D47" s="237"/>
      <c r="E47" s="299">
        <v>0.7</v>
      </c>
      <c r="F47" s="299">
        <v>0.7</v>
      </c>
      <c r="G47" s="299">
        <v>0.7</v>
      </c>
      <c r="H47" s="299">
        <v>0.7</v>
      </c>
      <c r="I47" s="299">
        <v>0.7</v>
      </c>
      <c r="J47" s="299">
        <v>0.7</v>
      </c>
      <c r="K47" s="299">
        <v>0.7</v>
      </c>
      <c r="L47" s="299">
        <v>0.7</v>
      </c>
      <c r="M47" s="299">
        <v>0.7</v>
      </c>
    </row>
    <row r="48" spans="1:13">
      <c r="A48" s="239" t="s">
        <v>143</v>
      </c>
      <c r="B48" s="237"/>
      <c r="C48" s="237"/>
      <c r="D48" s="237"/>
      <c r="E48" s="237">
        <f>+E46*E47</f>
        <v>210</v>
      </c>
      <c r="F48" s="237">
        <f t="shared" ref="F48:K48" si="4">+F46*F47</f>
        <v>210</v>
      </c>
      <c r="G48" s="237">
        <f t="shared" si="4"/>
        <v>210</v>
      </c>
      <c r="H48" s="237">
        <f t="shared" si="4"/>
        <v>210</v>
      </c>
      <c r="I48" s="237">
        <f t="shared" si="4"/>
        <v>210</v>
      </c>
      <c r="J48" s="237">
        <f t="shared" si="4"/>
        <v>210</v>
      </c>
      <c r="K48" s="237">
        <f t="shared" si="4"/>
        <v>210</v>
      </c>
      <c r="L48" s="237">
        <f t="shared" ref="L48:M48" si="5">+L46*L47</f>
        <v>210</v>
      </c>
      <c r="M48" s="237">
        <f t="shared" si="5"/>
        <v>210</v>
      </c>
    </row>
    <row r="49" spans="1:13">
      <c r="A49" s="239" t="s">
        <v>144</v>
      </c>
      <c r="B49" s="36"/>
      <c r="C49" s="36"/>
      <c r="D49" s="36"/>
      <c r="E49" s="36">
        <f>+E48/11.5</f>
        <v>18.260869565217391</v>
      </c>
      <c r="F49" s="36">
        <f t="shared" ref="F49:K49" si="6">+F48/11.5</f>
        <v>18.260869565217391</v>
      </c>
      <c r="G49" s="36">
        <f t="shared" si="6"/>
        <v>18.260869565217391</v>
      </c>
      <c r="H49" s="36">
        <f t="shared" si="6"/>
        <v>18.260869565217391</v>
      </c>
      <c r="I49" s="36">
        <f t="shared" si="6"/>
        <v>18.260869565217391</v>
      </c>
      <c r="J49" s="36">
        <f t="shared" si="6"/>
        <v>18.260869565217391</v>
      </c>
      <c r="K49" s="36">
        <f t="shared" si="6"/>
        <v>18.260869565217391</v>
      </c>
      <c r="L49" s="36">
        <f t="shared" ref="L49:M49" si="7">+L48/11.5</f>
        <v>18.260869565217391</v>
      </c>
      <c r="M49" s="36">
        <f t="shared" si="7"/>
        <v>18.260869565217391</v>
      </c>
    </row>
    <row r="50" spans="1:13">
      <c r="A50" s="229"/>
      <c r="B50" s="36"/>
      <c r="C50" s="36"/>
      <c r="D50" s="36"/>
      <c r="E50" s="36"/>
      <c r="F50" s="36"/>
      <c r="G50" s="36"/>
      <c r="H50" s="36"/>
      <c r="I50" s="36"/>
      <c r="J50" s="36"/>
      <c r="K50" s="36"/>
      <c r="L50" s="36"/>
      <c r="M50" s="36"/>
    </row>
    <row r="51" spans="1:13">
      <c r="A51" s="229" t="s">
        <v>145</v>
      </c>
      <c r="B51" s="36"/>
      <c r="C51" s="36"/>
      <c r="D51" s="36"/>
      <c r="E51" s="238">
        <f>+E38*E49*7333.33333</f>
        <v>0</v>
      </c>
      <c r="F51" s="238">
        <f t="shared" ref="F51:K51" si="8">+F40*F49*5500</f>
        <v>2410434.7826086958</v>
      </c>
      <c r="G51" s="238">
        <f t="shared" si="8"/>
        <v>4419130.4347826084</v>
      </c>
      <c r="H51" s="238">
        <f t="shared" si="8"/>
        <v>4419130.4347826084</v>
      </c>
      <c r="I51" s="238">
        <f t="shared" si="8"/>
        <v>4419130.4347826084</v>
      </c>
      <c r="J51" s="238">
        <f t="shared" si="8"/>
        <v>4519565.2173913047</v>
      </c>
      <c r="K51" s="238">
        <f t="shared" si="8"/>
        <v>4419130.4347826084</v>
      </c>
      <c r="L51" s="238">
        <f t="shared" ref="L51:M51" si="9">+L40*L49*5500</f>
        <v>4519565.2173913047</v>
      </c>
      <c r="M51" s="238">
        <f t="shared" si="9"/>
        <v>4419130.4347826084</v>
      </c>
    </row>
    <row r="52" spans="1:13">
      <c r="A52" s="229" t="s">
        <v>185</v>
      </c>
      <c r="B52" s="36"/>
      <c r="C52" s="36"/>
      <c r="D52" s="36"/>
      <c r="E52" s="279">
        <v>0.15</v>
      </c>
      <c r="F52" s="279">
        <v>0.15</v>
      </c>
      <c r="G52" s="279">
        <v>0.15</v>
      </c>
      <c r="H52" s="279">
        <v>0.15</v>
      </c>
      <c r="I52" s="279">
        <v>0.15</v>
      </c>
      <c r="J52" s="279">
        <v>0.15</v>
      </c>
      <c r="K52" s="279">
        <v>0.15</v>
      </c>
      <c r="L52" s="279">
        <v>0.15</v>
      </c>
      <c r="M52" s="279">
        <v>0.15</v>
      </c>
    </row>
    <row r="53" spans="1:13">
      <c r="A53" s="229" t="s">
        <v>148</v>
      </c>
      <c r="B53" s="36"/>
      <c r="C53" s="36"/>
      <c r="D53" s="36"/>
      <c r="E53" s="238">
        <f>+E51*85%</f>
        <v>0</v>
      </c>
      <c r="F53" s="238">
        <f t="shared" ref="F53:K53" si="10">+F51*85%</f>
        <v>2048869.5652173914</v>
      </c>
      <c r="G53" s="238">
        <f t="shared" si="10"/>
        <v>3756260.8695652168</v>
      </c>
      <c r="H53" s="238">
        <f t="shared" si="10"/>
        <v>3756260.8695652168</v>
      </c>
      <c r="I53" s="238">
        <f t="shared" si="10"/>
        <v>3756260.8695652168</v>
      </c>
      <c r="J53" s="238">
        <f t="shared" si="10"/>
        <v>3841630.4347826089</v>
      </c>
      <c r="K53" s="238">
        <f t="shared" si="10"/>
        <v>3756260.8695652168</v>
      </c>
      <c r="L53" s="238">
        <f t="shared" ref="L53:M53" si="11">+L51*85%</f>
        <v>3841630.4347826089</v>
      </c>
      <c r="M53" s="238">
        <f t="shared" si="11"/>
        <v>3756260.8695652168</v>
      </c>
    </row>
    <row r="54" spans="1:13">
      <c r="A54" s="229" t="s">
        <v>186</v>
      </c>
      <c r="B54" s="36"/>
      <c r="C54" s="36"/>
      <c r="D54" s="36"/>
      <c r="E54" s="279">
        <v>0.03</v>
      </c>
      <c r="F54" s="279">
        <v>0.03</v>
      </c>
      <c r="G54" s="279">
        <v>0.03</v>
      </c>
      <c r="H54" s="279">
        <v>0.03</v>
      </c>
      <c r="I54" s="279">
        <v>0.03</v>
      </c>
      <c r="J54" s="279">
        <v>0.03</v>
      </c>
      <c r="K54" s="279">
        <v>0.03</v>
      </c>
      <c r="L54" s="279">
        <v>0.03</v>
      </c>
      <c r="M54" s="279">
        <v>0.03</v>
      </c>
    </row>
    <row r="55" spans="1:13">
      <c r="A55" s="240" t="s">
        <v>149</v>
      </c>
      <c r="B55" s="241"/>
      <c r="C55" s="241"/>
      <c r="D55" s="241"/>
      <c r="E55" s="280">
        <f>+E53*0.97</f>
        <v>0</v>
      </c>
      <c r="F55" s="280">
        <f t="shared" ref="F55:K55" si="12">+F53*0.97</f>
        <v>1987403.4782608696</v>
      </c>
      <c r="G55" s="280">
        <f t="shared" si="12"/>
        <v>3643573.0434782603</v>
      </c>
      <c r="H55" s="280">
        <f t="shared" si="12"/>
        <v>3643573.0434782603</v>
      </c>
      <c r="I55" s="280">
        <f t="shared" si="12"/>
        <v>3643573.0434782603</v>
      </c>
      <c r="J55" s="280">
        <f t="shared" si="12"/>
        <v>3726381.5217391304</v>
      </c>
      <c r="K55" s="280">
        <f t="shared" si="12"/>
        <v>3643573.0434782603</v>
      </c>
      <c r="L55" s="280">
        <f t="shared" ref="L55:M55" si="13">+L53*0.97</f>
        <v>3726381.5217391304</v>
      </c>
      <c r="M55" s="280">
        <f t="shared" si="13"/>
        <v>3643573.0434782603</v>
      </c>
    </row>
    <row r="56" spans="1:13">
      <c r="A56" s="240" t="s">
        <v>264</v>
      </c>
      <c r="B56" s="241"/>
      <c r="C56" s="241"/>
      <c r="D56" s="241"/>
      <c r="E56" s="303">
        <v>1</v>
      </c>
      <c r="F56" s="303">
        <v>1</v>
      </c>
      <c r="G56" s="303">
        <v>1</v>
      </c>
      <c r="H56" s="303">
        <v>1</v>
      </c>
      <c r="I56" s="303">
        <v>1</v>
      </c>
      <c r="J56" s="303">
        <v>1</v>
      </c>
      <c r="K56" s="303">
        <v>1</v>
      </c>
      <c r="L56" s="303">
        <v>1</v>
      </c>
      <c r="M56" s="303">
        <v>1</v>
      </c>
    </row>
    <row r="57" spans="1:13">
      <c r="A57" s="240" t="s">
        <v>269</v>
      </c>
      <c r="B57" s="241"/>
      <c r="C57" s="241"/>
      <c r="D57" s="241"/>
      <c r="E57" s="306">
        <f>+E55*E56</f>
        <v>0</v>
      </c>
      <c r="F57" s="306">
        <f t="shared" ref="F57:K57" si="14">+F55*F56</f>
        <v>1987403.4782608696</v>
      </c>
      <c r="G57" s="306">
        <f t="shared" si="14"/>
        <v>3643573.0434782603</v>
      </c>
      <c r="H57" s="306">
        <f t="shared" si="14"/>
        <v>3643573.0434782603</v>
      </c>
      <c r="I57" s="306">
        <f t="shared" si="14"/>
        <v>3643573.0434782603</v>
      </c>
      <c r="J57" s="306">
        <f t="shared" si="14"/>
        <v>3726381.5217391304</v>
      </c>
      <c r="K57" s="306">
        <f t="shared" si="14"/>
        <v>3643573.0434782603</v>
      </c>
      <c r="L57" s="306">
        <f t="shared" ref="L57:M57" si="15">+L55*L56</f>
        <v>3726381.5217391304</v>
      </c>
      <c r="M57" s="306">
        <f t="shared" si="15"/>
        <v>3643573.0434782603</v>
      </c>
    </row>
    <row r="58" spans="1:13">
      <c r="A58" s="240" t="s">
        <v>150</v>
      </c>
      <c r="B58" s="241"/>
      <c r="C58" s="241"/>
      <c r="D58" s="241"/>
      <c r="E58" s="280">
        <v>32.5</v>
      </c>
      <c r="F58" s="280">
        <v>32.5</v>
      </c>
      <c r="G58" s="280">
        <v>32.5</v>
      </c>
      <c r="H58" s="280">
        <v>32.5</v>
      </c>
      <c r="I58" s="280">
        <v>32.5</v>
      </c>
      <c r="J58" s="280">
        <v>32.5</v>
      </c>
      <c r="K58" s="280">
        <v>32.5</v>
      </c>
      <c r="L58" s="280">
        <v>32.5</v>
      </c>
      <c r="M58" s="280">
        <v>32.5</v>
      </c>
    </row>
    <row r="59" spans="1:13">
      <c r="A59" s="229"/>
      <c r="B59" s="36"/>
      <c r="C59" s="36"/>
      <c r="D59" s="36"/>
      <c r="E59" s="238"/>
      <c r="F59" s="238"/>
      <c r="G59" s="238"/>
      <c r="H59" s="238"/>
      <c r="I59" s="238"/>
      <c r="J59" s="238"/>
      <c r="K59" s="238"/>
      <c r="L59" s="238"/>
      <c r="M59" s="238"/>
    </row>
    <row r="60" spans="1:13">
      <c r="A60" s="242" t="s">
        <v>152</v>
      </c>
      <c r="B60" s="243"/>
      <c r="C60" s="243"/>
      <c r="D60" s="243"/>
      <c r="E60" s="243">
        <f>+E57*E58/10^5</f>
        <v>0</v>
      </c>
      <c r="F60" s="243">
        <f t="shared" ref="F60:K60" si="16">+F57*F58/10^5</f>
        <v>645.90613043478265</v>
      </c>
      <c r="G60" s="243">
        <f t="shared" si="16"/>
        <v>1184.1612391304345</v>
      </c>
      <c r="H60" s="243">
        <f t="shared" si="16"/>
        <v>1184.1612391304345</v>
      </c>
      <c r="I60" s="243">
        <f t="shared" si="16"/>
        <v>1184.1612391304345</v>
      </c>
      <c r="J60" s="243">
        <f t="shared" si="16"/>
        <v>1211.0739945652174</v>
      </c>
      <c r="K60" s="243">
        <f t="shared" si="16"/>
        <v>1184.1612391304345</v>
      </c>
      <c r="L60" s="243">
        <f t="shared" ref="L60:M60" si="17">+L57*L58/10^5</f>
        <v>1211.0739945652174</v>
      </c>
      <c r="M60" s="243">
        <f t="shared" si="17"/>
        <v>1184.1612391304345</v>
      </c>
    </row>
    <row r="61" spans="1:13">
      <c r="A61" s="229"/>
      <c r="B61" s="36"/>
      <c r="C61" s="36"/>
      <c r="D61" s="36"/>
      <c r="E61" s="36"/>
      <c r="F61" s="36"/>
      <c r="G61" s="36"/>
      <c r="H61" s="36"/>
      <c r="I61" s="36"/>
      <c r="J61" s="36"/>
      <c r="K61" s="36"/>
      <c r="L61" s="36"/>
      <c r="M61" s="36"/>
    </row>
    <row r="62" spans="1:13">
      <c r="A62" s="240" t="s">
        <v>153</v>
      </c>
      <c r="B62" s="241"/>
      <c r="C62" s="241"/>
      <c r="D62" s="241"/>
      <c r="E62" s="241"/>
      <c r="F62" s="241"/>
      <c r="G62" s="241"/>
      <c r="H62" s="241"/>
      <c r="I62" s="241"/>
      <c r="J62" s="241"/>
      <c r="K62" s="241"/>
      <c r="L62" s="241"/>
      <c r="M62" s="241"/>
    </row>
    <row r="63" spans="1:13" ht="31">
      <c r="A63" s="239" t="s">
        <v>253</v>
      </c>
      <c r="B63" s="237"/>
      <c r="C63" s="237"/>
      <c r="D63" s="237"/>
      <c r="E63" s="237">
        <v>30</v>
      </c>
      <c r="F63" s="237">
        <v>30</v>
      </c>
      <c r="G63" s="237">
        <v>30</v>
      </c>
      <c r="H63" s="237">
        <v>30</v>
      </c>
      <c r="I63" s="237">
        <v>30</v>
      </c>
      <c r="J63" s="237">
        <v>30</v>
      </c>
      <c r="K63" s="237">
        <v>30</v>
      </c>
      <c r="L63" s="237">
        <v>30</v>
      </c>
      <c r="M63" s="237">
        <v>30</v>
      </c>
    </row>
    <row r="64" spans="1:13">
      <c r="A64" s="229" t="s">
        <v>252</v>
      </c>
      <c r="B64" s="237"/>
      <c r="C64" s="237"/>
      <c r="D64" s="237"/>
      <c r="E64" s="298">
        <v>0.4</v>
      </c>
      <c r="F64" s="298">
        <v>0.4</v>
      </c>
      <c r="G64" s="298">
        <v>0.4</v>
      </c>
      <c r="H64" s="298">
        <v>0.4</v>
      </c>
      <c r="I64" s="298">
        <v>0.4</v>
      </c>
      <c r="J64" s="298">
        <v>0.4</v>
      </c>
      <c r="K64" s="298">
        <v>0.4</v>
      </c>
      <c r="L64" s="298">
        <v>0.4</v>
      </c>
      <c r="M64" s="298">
        <v>0.4</v>
      </c>
    </row>
    <row r="65" spans="1:13">
      <c r="A65" s="239" t="s">
        <v>146</v>
      </c>
      <c r="B65" s="237"/>
      <c r="C65" s="237"/>
      <c r="D65" s="237"/>
      <c r="E65" s="237">
        <f>+E63*E64</f>
        <v>12</v>
      </c>
      <c r="F65" s="237">
        <f t="shared" ref="F65:K65" si="18">+F63*F64</f>
        <v>12</v>
      </c>
      <c r="G65" s="237">
        <f t="shared" si="18"/>
        <v>12</v>
      </c>
      <c r="H65" s="237">
        <f t="shared" si="18"/>
        <v>12</v>
      </c>
      <c r="I65" s="237">
        <f t="shared" si="18"/>
        <v>12</v>
      </c>
      <c r="J65" s="237">
        <f t="shared" si="18"/>
        <v>12</v>
      </c>
      <c r="K65" s="237">
        <f t="shared" si="18"/>
        <v>12</v>
      </c>
      <c r="L65" s="237">
        <f t="shared" ref="L65:M65" si="19">+L63*L64</f>
        <v>12</v>
      </c>
      <c r="M65" s="237">
        <f t="shared" si="19"/>
        <v>12</v>
      </c>
    </row>
    <row r="66" spans="1:13">
      <c r="A66" s="239" t="s">
        <v>147</v>
      </c>
      <c r="B66" s="36"/>
      <c r="C66" s="36"/>
      <c r="D66" s="36"/>
      <c r="E66" s="36">
        <f>+E65/11.5</f>
        <v>1.0434782608695652</v>
      </c>
      <c r="F66" s="36">
        <f t="shared" ref="F66" si="20">+F65/11.5</f>
        <v>1.0434782608695652</v>
      </c>
      <c r="G66" s="36">
        <f t="shared" ref="G66" si="21">+G65/11.5</f>
        <v>1.0434782608695652</v>
      </c>
      <c r="H66" s="36">
        <f t="shared" ref="H66" si="22">+H65/11.5</f>
        <v>1.0434782608695652</v>
      </c>
      <c r="I66" s="36">
        <f t="shared" ref="I66" si="23">+I65/11.5</f>
        <v>1.0434782608695652</v>
      </c>
      <c r="J66" s="36">
        <f t="shared" ref="J66" si="24">+J65/11.5</f>
        <v>1.0434782608695652</v>
      </c>
      <c r="K66" s="36">
        <f t="shared" ref="K66:M66" si="25">+K65/11.5</f>
        <v>1.0434782608695652</v>
      </c>
      <c r="L66" s="36">
        <f t="shared" si="25"/>
        <v>1.0434782608695652</v>
      </c>
      <c r="M66" s="36">
        <f t="shared" si="25"/>
        <v>1.0434782608695652</v>
      </c>
    </row>
    <row r="67" spans="1:13">
      <c r="A67" s="229"/>
      <c r="B67" s="36"/>
      <c r="C67" s="36"/>
      <c r="D67" s="36"/>
      <c r="E67" s="36"/>
      <c r="F67" s="36"/>
      <c r="G67" s="36"/>
      <c r="H67" s="36"/>
      <c r="I67" s="36"/>
      <c r="J67" s="36"/>
      <c r="K67" s="36"/>
      <c r="L67" s="36"/>
      <c r="M67" s="36"/>
    </row>
    <row r="68" spans="1:13">
      <c r="A68" s="240" t="s">
        <v>154</v>
      </c>
      <c r="B68" s="241"/>
      <c r="C68" s="241"/>
      <c r="D68" s="241"/>
      <c r="E68" s="280">
        <f>+E38*E66*7333.33333</f>
        <v>0</v>
      </c>
      <c r="F68" s="280">
        <f t="shared" ref="F68:K68" si="26">+F40*F66*5500</f>
        <v>137739.13043478259</v>
      </c>
      <c r="G68" s="280">
        <f t="shared" si="26"/>
        <v>252521.73913043478</v>
      </c>
      <c r="H68" s="280">
        <f t="shared" si="26"/>
        <v>252521.73913043478</v>
      </c>
      <c r="I68" s="280">
        <f t="shared" si="26"/>
        <v>252521.73913043478</v>
      </c>
      <c r="J68" s="280">
        <f t="shared" si="26"/>
        <v>258260.86956521738</v>
      </c>
      <c r="K68" s="280">
        <f t="shared" si="26"/>
        <v>252521.73913043478</v>
      </c>
      <c r="L68" s="280">
        <f t="shared" ref="L68:M68" si="27">+L40*L66*5500</f>
        <v>258260.86956521738</v>
      </c>
      <c r="M68" s="280">
        <f t="shared" si="27"/>
        <v>252521.73913043478</v>
      </c>
    </row>
    <row r="69" spans="1:13">
      <c r="A69" s="240" t="s">
        <v>155</v>
      </c>
      <c r="B69" s="241"/>
      <c r="C69" s="241"/>
      <c r="D69" s="241"/>
      <c r="E69" s="241">
        <v>3</v>
      </c>
      <c r="F69" s="241">
        <v>3</v>
      </c>
      <c r="G69" s="241">
        <v>3</v>
      </c>
      <c r="H69" s="241">
        <v>3</v>
      </c>
      <c r="I69" s="241">
        <v>3</v>
      </c>
      <c r="J69" s="241">
        <v>3</v>
      </c>
      <c r="K69" s="241">
        <v>3</v>
      </c>
      <c r="L69" s="241">
        <v>3</v>
      </c>
      <c r="M69" s="241">
        <v>3</v>
      </c>
    </row>
    <row r="70" spans="1:13">
      <c r="A70" s="229"/>
      <c r="B70" s="36"/>
      <c r="C70" s="36"/>
      <c r="D70" s="36"/>
      <c r="E70" s="36"/>
      <c r="F70" s="36"/>
      <c r="G70" s="36"/>
      <c r="H70" s="36"/>
      <c r="I70" s="36"/>
      <c r="J70" s="36"/>
      <c r="K70" s="36"/>
      <c r="L70" s="36"/>
      <c r="M70" s="36"/>
    </row>
    <row r="71" spans="1:13">
      <c r="A71" s="242" t="s">
        <v>152</v>
      </c>
      <c r="B71" s="243"/>
      <c r="C71" s="243"/>
      <c r="D71" s="243"/>
      <c r="E71" s="243">
        <f>+E68*E69/10^5</f>
        <v>0</v>
      </c>
      <c r="F71" s="243">
        <f t="shared" ref="F71:K71" si="28">+F68*F69/10^5</f>
        <v>4.132173913043478</v>
      </c>
      <c r="G71" s="243">
        <f t="shared" si="28"/>
        <v>7.5756521739130429</v>
      </c>
      <c r="H71" s="243">
        <f t="shared" si="28"/>
        <v>7.5756521739130429</v>
      </c>
      <c r="I71" s="243">
        <f t="shared" si="28"/>
        <v>7.5756521739130429</v>
      </c>
      <c r="J71" s="243">
        <f t="shared" si="28"/>
        <v>7.747826086956521</v>
      </c>
      <c r="K71" s="243">
        <f t="shared" si="28"/>
        <v>7.5756521739130429</v>
      </c>
      <c r="L71" s="243">
        <f t="shared" ref="L71:M71" si="29">+L68*L69/10^5</f>
        <v>7.747826086956521</v>
      </c>
      <c r="M71" s="243">
        <f t="shared" si="29"/>
        <v>7.5756521739130429</v>
      </c>
    </row>
    <row r="72" spans="1:13">
      <c r="A72" s="240"/>
      <c r="B72" s="241"/>
      <c r="C72" s="241"/>
      <c r="D72" s="241"/>
      <c r="E72" s="241"/>
      <c r="F72" s="241"/>
      <c r="G72" s="241"/>
      <c r="H72" s="241"/>
      <c r="I72" s="241"/>
      <c r="J72" s="241"/>
      <c r="K72" s="241"/>
      <c r="L72" s="241"/>
      <c r="M72" s="241"/>
    </row>
    <row r="73" spans="1:13">
      <c r="A73" s="240"/>
      <c r="B73" s="241"/>
      <c r="C73" s="241"/>
      <c r="D73" s="241"/>
      <c r="E73" s="241"/>
      <c r="F73" s="241"/>
      <c r="G73" s="241"/>
      <c r="H73" s="241"/>
      <c r="I73" s="241"/>
      <c r="J73" s="241"/>
      <c r="K73" s="241"/>
      <c r="L73" s="241"/>
      <c r="M73" s="241"/>
    </row>
    <row r="74" spans="1:13">
      <c r="A74" s="240" t="s">
        <v>265</v>
      </c>
      <c r="B74" s="244"/>
      <c r="C74" s="244"/>
      <c r="D74" s="244"/>
      <c r="E74" s="244"/>
      <c r="F74" s="244"/>
      <c r="G74" s="244"/>
      <c r="H74" s="244"/>
      <c r="I74" s="244"/>
      <c r="J74" s="244"/>
      <c r="K74" s="244"/>
      <c r="L74" s="244"/>
      <c r="M74" s="244"/>
    </row>
    <row r="75" spans="1:13">
      <c r="A75" s="229"/>
      <c r="B75" s="237"/>
      <c r="C75" s="237"/>
      <c r="D75" s="237"/>
      <c r="E75" s="237"/>
      <c r="F75" s="237"/>
      <c r="G75" s="237"/>
      <c r="H75" s="237"/>
      <c r="I75" s="237"/>
      <c r="J75" s="237"/>
      <c r="K75" s="237"/>
      <c r="L75" s="237"/>
      <c r="M75" s="237"/>
    </row>
    <row r="76" spans="1:13">
      <c r="A76" s="229" t="str">
        <f>+A55</f>
        <v>Sale after FR and WK@ 3%</v>
      </c>
      <c r="B76" s="237"/>
      <c r="C76" s="237"/>
      <c r="D76" s="237"/>
      <c r="E76" s="304">
        <f>+E55</f>
        <v>0</v>
      </c>
      <c r="F76" s="304">
        <f t="shared" ref="F76:K76" si="30">+F55</f>
        <v>1987403.4782608696</v>
      </c>
      <c r="G76" s="304">
        <f t="shared" si="30"/>
        <v>3643573.0434782603</v>
      </c>
      <c r="H76" s="304">
        <f t="shared" si="30"/>
        <v>3643573.0434782603</v>
      </c>
      <c r="I76" s="304">
        <f t="shared" si="30"/>
        <v>3643573.0434782603</v>
      </c>
      <c r="J76" s="304">
        <f t="shared" si="30"/>
        <v>3726381.5217391304</v>
      </c>
      <c r="K76" s="304">
        <f t="shared" si="30"/>
        <v>3643573.0434782603</v>
      </c>
      <c r="L76" s="304">
        <f t="shared" ref="L76:M76" si="31">+L55</f>
        <v>3726381.5217391304</v>
      </c>
      <c r="M76" s="304">
        <f t="shared" si="31"/>
        <v>3643573.0434782603</v>
      </c>
    </row>
    <row r="77" spans="1:13" ht="31">
      <c r="A77" s="229" t="s">
        <v>266</v>
      </c>
      <c r="B77" s="237"/>
      <c r="C77" s="237"/>
      <c r="D77" s="237"/>
      <c r="E77" s="298">
        <v>0</v>
      </c>
      <c r="F77" s="298">
        <v>0</v>
      </c>
      <c r="G77" s="298">
        <v>0</v>
      </c>
      <c r="H77" s="298">
        <v>0</v>
      </c>
      <c r="I77" s="298">
        <v>0</v>
      </c>
      <c r="J77" s="298">
        <v>0</v>
      </c>
      <c r="K77" s="298">
        <v>0</v>
      </c>
      <c r="L77" s="298">
        <v>0</v>
      </c>
      <c r="M77" s="298">
        <v>0</v>
      </c>
    </row>
    <row r="78" spans="1:13">
      <c r="A78" s="229" t="s">
        <v>270</v>
      </c>
      <c r="B78" s="237"/>
      <c r="C78" s="237"/>
      <c r="D78" s="237"/>
      <c r="E78" s="307">
        <f>+E76*E77</f>
        <v>0</v>
      </c>
      <c r="F78" s="307">
        <f t="shared" ref="F78:K78" si="32">+F76*F77</f>
        <v>0</v>
      </c>
      <c r="G78" s="307">
        <f t="shared" si="32"/>
        <v>0</v>
      </c>
      <c r="H78" s="307">
        <f t="shared" si="32"/>
        <v>0</v>
      </c>
      <c r="I78" s="307">
        <f t="shared" si="32"/>
        <v>0</v>
      </c>
      <c r="J78" s="307">
        <f t="shared" si="32"/>
        <v>0</v>
      </c>
      <c r="K78" s="307">
        <f t="shared" si="32"/>
        <v>0</v>
      </c>
      <c r="L78" s="307">
        <f t="shared" ref="L78:M78" si="33">+L76*L77</f>
        <v>0</v>
      </c>
      <c r="M78" s="307">
        <f t="shared" si="33"/>
        <v>0</v>
      </c>
    </row>
    <row r="79" spans="1:13">
      <c r="A79" s="229" t="s">
        <v>271</v>
      </c>
      <c r="B79" s="237"/>
      <c r="C79" s="237"/>
      <c r="D79" s="237"/>
      <c r="E79" s="323">
        <v>1.5</v>
      </c>
      <c r="F79" s="323">
        <v>1.5</v>
      </c>
      <c r="G79" s="323">
        <v>1.5</v>
      </c>
      <c r="H79" s="323">
        <v>1.5</v>
      </c>
      <c r="I79" s="323">
        <v>1.5</v>
      </c>
      <c r="J79" s="323">
        <v>1.5</v>
      </c>
      <c r="K79" s="323">
        <v>1.5</v>
      </c>
      <c r="L79" s="323">
        <v>1.5</v>
      </c>
      <c r="M79" s="323">
        <v>1.5</v>
      </c>
    </row>
    <row r="80" spans="1:13">
      <c r="A80" s="229" t="s">
        <v>272</v>
      </c>
      <c r="B80" s="237"/>
      <c r="C80" s="237"/>
      <c r="D80" s="237"/>
      <c r="E80" s="307">
        <f>+E78*E79</f>
        <v>0</v>
      </c>
      <c r="F80" s="307">
        <f t="shared" ref="F80:K80" si="34">+F78*F79</f>
        <v>0</v>
      </c>
      <c r="G80" s="307">
        <f t="shared" si="34"/>
        <v>0</v>
      </c>
      <c r="H80" s="307">
        <f t="shared" si="34"/>
        <v>0</v>
      </c>
      <c r="I80" s="307">
        <f t="shared" si="34"/>
        <v>0</v>
      </c>
      <c r="J80" s="307">
        <f t="shared" si="34"/>
        <v>0</v>
      </c>
      <c r="K80" s="307">
        <f t="shared" si="34"/>
        <v>0</v>
      </c>
      <c r="L80" s="307">
        <f t="shared" ref="L80:M80" si="35">+L78*L79</f>
        <v>0</v>
      </c>
      <c r="M80" s="307">
        <f t="shared" si="35"/>
        <v>0</v>
      </c>
    </row>
    <row r="81" spans="1:13">
      <c r="A81" s="229" t="s">
        <v>273</v>
      </c>
      <c r="B81" s="237"/>
      <c r="C81" s="237"/>
      <c r="D81" s="237"/>
      <c r="E81" s="305">
        <v>80</v>
      </c>
      <c r="F81" s="305">
        <v>80</v>
      </c>
      <c r="G81" s="305">
        <v>80</v>
      </c>
      <c r="H81" s="305">
        <v>80</v>
      </c>
      <c r="I81" s="305">
        <v>80</v>
      </c>
      <c r="J81" s="305">
        <v>80</v>
      </c>
      <c r="K81" s="305">
        <v>80</v>
      </c>
      <c r="L81" s="305">
        <v>80</v>
      </c>
      <c r="M81" s="305">
        <v>80</v>
      </c>
    </row>
    <row r="82" spans="1:13">
      <c r="A82" s="229"/>
      <c r="B82" s="36"/>
      <c r="C82" s="36"/>
      <c r="D82" s="36"/>
      <c r="E82" s="238"/>
      <c r="F82" s="238"/>
      <c r="G82" s="238"/>
      <c r="H82" s="238"/>
      <c r="I82" s="238"/>
      <c r="J82" s="238"/>
      <c r="K82" s="238"/>
      <c r="L82" s="238"/>
      <c r="M82" s="238"/>
    </row>
    <row r="83" spans="1:13">
      <c r="A83" s="242" t="s">
        <v>152</v>
      </c>
      <c r="B83" s="243"/>
      <c r="C83" s="243"/>
      <c r="D83" s="243"/>
      <c r="E83" s="243">
        <f>+E80*E81/10^5</f>
        <v>0</v>
      </c>
      <c r="F83" s="243">
        <f t="shared" ref="F83:K83" si="36">+F80*F81/10^5</f>
        <v>0</v>
      </c>
      <c r="G83" s="243">
        <f t="shared" si="36"/>
        <v>0</v>
      </c>
      <c r="H83" s="243">
        <f t="shared" si="36"/>
        <v>0</v>
      </c>
      <c r="I83" s="243">
        <f t="shared" si="36"/>
        <v>0</v>
      </c>
      <c r="J83" s="243">
        <f t="shared" si="36"/>
        <v>0</v>
      </c>
      <c r="K83" s="243">
        <f t="shared" si="36"/>
        <v>0</v>
      </c>
      <c r="L83" s="243">
        <f t="shared" ref="L83:M83" si="37">+L80*L81/10^5</f>
        <v>0</v>
      </c>
      <c r="M83" s="243">
        <f t="shared" si="37"/>
        <v>0</v>
      </c>
    </row>
    <row r="84" spans="1:13">
      <c r="A84" s="229"/>
      <c r="B84" s="36"/>
      <c r="C84" s="36"/>
      <c r="D84" s="36"/>
      <c r="E84" s="36"/>
      <c r="F84" s="36"/>
      <c r="G84" s="36"/>
      <c r="H84" s="36"/>
      <c r="I84" s="36"/>
      <c r="J84" s="36"/>
      <c r="K84" s="36"/>
      <c r="L84" s="36"/>
      <c r="M84" s="36"/>
    </row>
    <row r="85" spans="1:13">
      <c r="A85" s="240" t="s">
        <v>267</v>
      </c>
      <c r="B85" s="241"/>
      <c r="C85" s="241"/>
      <c r="D85" s="241"/>
      <c r="E85" s="241">
        <f t="shared" ref="E85:K85" si="38">+E60*5%</f>
        <v>0</v>
      </c>
      <c r="F85" s="241">
        <f t="shared" si="38"/>
        <v>32.295306521739136</v>
      </c>
      <c r="G85" s="241">
        <f t="shared" si="38"/>
        <v>59.208061956521732</v>
      </c>
      <c r="H85" s="241">
        <f t="shared" si="38"/>
        <v>59.208061956521732</v>
      </c>
      <c r="I85" s="241">
        <f t="shared" si="38"/>
        <v>59.208061956521732</v>
      </c>
      <c r="J85" s="241">
        <f t="shared" si="38"/>
        <v>60.553699728260874</v>
      </c>
      <c r="K85" s="241">
        <f t="shared" si="38"/>
        <v>59.208061956521732</v>
      </c>
      <c r="L85" s="241">
        <f t="shared" ref="L85:M85" si="39">+L60*5%</f>
        <v>60.553699728260874</v>
      </c>
      <c r="M85" s="241">
        <f t="shared" si="39"/>
        <v>59.208061956521732</v>
      </c>
    </row>
    <row r="86" spans="1:13">
      <c r="A86" s="240"/>
      <c r="B86" s="241"/>
      <c r="C86" s="241"/>
      <c r="D86" s="241"/>
      <c r="E86" s="241"/>
      <c r="F86" s="241"/>
      <c r="G86" s="241"/>
      <c r="H86" s="241"/>
      <c r="I86" s="241"/>
      <c r="J86" s="241"/>
      <c r="K86" s="241"/>
      <c r="L86" s="241"/>
      <c r="M86" s="241"/>
    </row>
    <row r="87" spans="1:13">
      <c r="A87" s="240"/>
      <c r="B87" s="241"/>
      <c r="C87" s="241"/>
      <c r="D87" s="241"/>
      <c r="E87" s="241"/>
      <c r="F87" s="241"/>
      <c r="G87" s="241"/>
      <c r="H87" s="241"/>
      <c r="I87" s="241"/>
      <c r="J87" s="241"/>
      <c r="K87" s="241"/>
      <c r="L87" s="241"/>
      <c r="M87" s="241"/>
    </row>
    <row r="88" spans="1:13">
      <c r="A88" s="242" t="s">
        <v>268</v>
      </c>
      <c r="B88" s="243"/>
      <c r="C88" s="243"/>
      <c r="D88" s="243"/>
      <c r="E88" s="243">
        <f>+E60+E71+E85+E83</f>
        <v>0</v>
      </c>
      <c r="F88" s="243">
        <f t="shared" ref="F88:K88" si="40">+F60+F71+F85+F83</f>
        <v>682.33361086956529</v>
      </c>
      <c r="G88" s="243">
        <f t="shared" si="40"/>
        <v>1250.9449532608694</v>
      </c>
      <c r="H88" s="243">
        <f t="shared" si="40"/>
        <v>1250.9449532608694</v>
      </c>
      <c r="I88" s="243">
        <f t="shared" si="40"/>
        <v>1250.9449532608694</v>
      </c>
      <c r="J88" s="243">
        <f t="shared" si="40"/>
        <v>1279.3755203804349</v>
      </c>
      <c r="K88" s="243">
        <f t="shared" si="40"/>
        <v>1250.9449532608694</v>
      </c>
      <c r="L88" s="243">
        <f t="shared" ref="L88:M88" si="41">+L60+L71+L85+L83</f>
        <v>1279.3755203804349</v>
      </c>
      <c r="M88" s="243">
        <f t="shared" si="41"/>
        <v>1250.9449532608694</v>
      </c>
    </row>
    <row r="90" spans="1:13" ht="23.5">
      <c r="A90" s="35" t="s">
        <v>114</v>
      </c>
    </row>
    <row r="91" spans="1:13" ht="18" customHeight="1">
      <c r="A91" s="35"/>
    </row>
    <row r="92" spans="1:13" ht="18" customHeight="1">
      <c r="A92" s="35"/>
    </row>
    <row r="93" spans="1:13" ht="18" customHeight="1">
      <c r="A93" s="626" t="s">
        <v>248</v>
      </c>
      <c r="B93" s="627"/>
      <c r="C93" s="627"/>
      <c r="D93" s="627"/>
      <c r="E93" s="627"/>
      <c r="F93" s="627"/>
      <c r="G93" s="627"/>
      <c r="H93" s="627"/>
      <c r="I93" s="627"/>
      <c r="J93" s="627"/>
      <c r="K93" s="627"/>
      <c r="L93" s="627"/>
      <c r="M93" s="627"/>
    </row>
    <row r="94" spans="1:13" ht="18" customHeight="1">
      <c r="A94" s="102" t="s">
        <v>1</v>
      </c>
      <c r="B94" s="97"/>
      <c r="C94" s="97"/>
      <c r="D94" s="97"/>
      <c r="E94" s="97"/>
      <c r="F94" s="97"/>
      <c r="G94" s="97"/>
      <c r="H94" s="97"/>
      <c r="I94" s="97"/>
      <c r="J94" s="97"/>
      <c r="K94" s="97"/>
      <c r="L94" s="97"/>
      <c r="M94" s="97"/>
    </row>
    <row r="95" spans="1:13" ht="18" customHeight="1">
      <c r="A95" s="102"/>
      <c r="B95" s="156"/>
      <c r="C95" s="156"/>
      <c r="D95" s="156" t="s">
        <v>142</v>
      </c>
      <c r="E95" s="97" t="s">
        <v>20</v>
      </c>
      <c r="F95" s="97" t="s">
        <v>21</v>
      </c>
      <c r="G95" s="97" t="s">
        <v>27</v>
      </c>
      <c r="H95" s="97" t="s">
        <v>28</v>
      </c>
      <c r="I95" s="97" t="s">
        <v>57</v>
      </c>
      <c r="J95" s="97" t="s">
        <v>138</v>
      </c>
      <c r="K95" s="97" t="s">
        <v>225</v>
      </c>
      <c r="L95" s="97" t="s">
        <v>729</v>
      </c>
      <c r="M95" s="97" t="s">
        <v>730</v>
      </c>
    </row>
    <row r="96" spans="1:13" ht="18" customHeight="1">
      <c r="A96" s="157"/>
      <c r="B96" s="20"/>
      <c r="C96" s="20"/>
      <c r="D96" s="20"/>
      <c r="E96" s="20"/>
      <c r="F96" s="20"/>
      <c r="G96" s="20"/>
      <c r="H96" s="20"/>
      <c r="I96" s="20"/>
      <c r="J96" s="20"/>
      <c r="K96" s="20"/>
      <c r="L96" s="20"/>
      <c r="M96" s="20"/>
    </row>
    <row r="97" spans="1:13" ht="18" customHeight="1">
      <c r="A97" s="234" t="s">
        <v>233</v>
      </c>
      <c r="B97" s="158">
        <v>5500</v>
      </c>
      <c r="C97" s="158"/>
      <c r="D97" s="158">
        <v>6</v>
      </c>
      <c r="E97" s="158">
        <v>3</v>
      </c>
      <c r="F97" s="158">
        <v>3</v>
      </c>
      <c r="G97" s="158">
        <v>0</v>
      </c>
      <c r="H97" s="158">
        <v>0</v>
      </c>
      <c r="I97" s="158">
        <v>0</v>
      </c>
      <c r="J97" s="158">
        <v>0</v>
      </c>
      <c r="K97" s="158">
        <v>0</v>
      </c>
      <c r="L97" s="158">
        <v>0</v>
      </c>
      <c r="M97" s="158">
        <v>0</v>
      </c>
    </row>
    <row r="98" spans="1:13" ht="18" customHeight="1">
      <c r="A98" s="159" t="s">
        <v>306</v>
      </c>
      <c r="B98" s="158">
        <v>5500</v>
      </c>
      <c r="C98" s="158"/>
      <c r="D98" s="235">
        <v>6</v>
      </c>
      <c r="E98" s="158">
        <v>1</v>
      </c>
      <c r="F98" s="158">
        <v>5</v>
      </c>
      <c r="G98" s="158">
        <v>0</v>
      </c>
      <c r="H98" s="158">
        <v>0</v>
      </c>
      <c r="I98" s="158">
        <v>0</v>
      </c>
      <c r="J98" s="158">
        <v>0</v>
      </c>
      <c r="K98" s="158">
        <v>0</v>
      </c>
      <c r="L98" s="158">
        <v>0</v>
      </c>
      <c r="M98" s="158">
        <v>0</v>
      </c>
    </row>
    <row r="99" spans="1:13" ht="18" customHeight="1">
      <c r="A99" s="236" t="s">
        <v>307</v>
      </c>
      <c r="B99" s="158">
        <v>5500</v>
      </c>
      <c r="C99" s="158"/>
      <c r="D99" s="232">
        <v>6</v>
      </c>
      <c r="E99" s="158">
        <v>0</v>
      </c>
      <c r="F99" s="158">
        <v>6</v>
      </c>
      <c r="G99" s="158">
        <v>0</v>
      </c>
      <c r="H99" s="158">
        <v>0</v>
      </c>
      <c r="I99" s="158">
        <v>0</v>
      </c>
      <c r="J99" s="158">
        <v>0</v>
      </c>
      <c r="K99" s="158">
        <v>0</v>
      </c>
      <c r="L99" s="158">
        <v>0</v>
      </c>
      <c r="M99" s="158">
        <v>0</v>
      </c>
    </row>
    <row r="100" spans="1:13" ht="18" customHeight="1">
      <c r="A100" s="234" t="s">
        <v>308</v>
      </c>
      <c r="B100" s="158">
        <v>5500</v>
      </c>
      <c r="C100" s="158"/>
      <c r="D100" s="232">
        <v>6</v>
      </c>
      <c r="E100" s="232">
        <v>0</v>
      </c>
      <c r="F100" s="158">
        <v>6</v>
      </c>
      <c r="G100" s="158">
        <v>0</v>
      </c>
      <c r="H100" s="232">
        <v>0</v>
      </c>
      <c r="I100" s="232">
        <v>0</v>
      </c>
      <c r="J100" s="232">
        <v>0</v>
      </c>
      <c r="K100" s="232">
        <v>0</v>
      </c>
      <c r="L100" s="232">
        <v>0</v>
      </c>
      <c r="M100" s="232">
        <v>0</v>
      </c>
    </row>
    <row r="101" spans="1:13" ht="18" customHeight="1">
      <c r="A101" s="289" t="s">
        <v>309</v>
      </c>
      <c r="B101" s="290">
        <v>5500</v>
      </c>
      <c r="C101" s="158"/>
      <c r="D101" s="232">
        <v>6</v>
      </c>
      <c r="E101" s="232">
        <v>0</v>
      </c>
      <c r="F101" s="158">
        <v>2</v>
      </c>
      <c r="G101" s="158">
        <v>4</v>
      </c>
      <c r="H101" s="232">
        <v>0</v>
      </c>
      <c r="I101" s="232">
        <v>0</v>
      </c>
      <c r="J101" s="232">
        <v>0</v>
      </c>
      <c r="K101" s="232">
        <v>0</v>
      </c>
      <c r="L101" s="232">
        <v>0</v>
      </c>
      <c r="M101" s="232">
        <v>0</v>
      </c>
    </row>
    <row r="102" spans="1:13" ht="18" customHeight="1">
      <c r="A102" s="236" t="s">
        <v>310</v>
      </c>
      <c r="B102" s="158">
        <v>5500</v>
      </c>
      <c r="C102" s="158"/>
      <c r="D102" s="232">
        <v>6</v>
      </c>
      <c r="E102" s="232">
        <v>0</v>
      </c>
      <c r="F102" s="158">
        <v>0</v>
      </c>
      <c r="G102" s="158">
        <v>6</v>
      </c>
      <c r="H102" s="232">
        <v>0</v>
      </c>
      <c r="I102" s="232">
        <v>0</v>
      </c>
      <c r="J102" s="232">
        <v>0</v>
      </c>
      <c r="K102" s="232">
        <v>0</v>
      </c>
      <c r="L102" s="232">
        <v>0</v>
      </c>
      <c r="M102" s="232">
        <v>0</v>
      </c>
    </row>
    <row r="103" spans="1:13" ht="18" customHeight="1">
      <c r="A103" s="234" t="s">
        <v>311</v>
      </c>
      <c r="B103" s="158">
        <v>5500</v>
      </c>
      <c r="C103" s="158"/>
      <c r="D103" s="232">
        <v>6</v>
      </c>
      <c r="E103" s="232">
        <v>0</v>
      </c>
      <c r="F103" s="232">
        <v>0</v>
      </c>
      <c r="G103" s="158">
        <v>6</v>
      </c>
      <c r="H103" s="158">
        <v>0</v>
      </c>
      <c r="I103" s="232">
        <v>0</v>
      </c>
      <c r="J103" s="232">
        <v>0</v>
      </c>
      <c r="K103" s="232">
        <v>0</v>
      </c>
      <c r="L103" s="232">
        <v>0</v>
      </c>
      <c r="M103" s="232">
        <v>0</v>
      </c>
    </row>
    <row r="104" spans="1:13" ht="18" customHeight="1">
      <c r="A104" s="159" t="s">
        <v>312</v>
      </c>
      <c r="B104" s="158">
        <v>5500</v>
      </c>
      <c r="C104" s="158"/>
      <c r="D104" s="232">
        <v>6</v>
      </c>
      <c r="E104" s="232">
        <v>0</v>
      </c>
      <c r="F104" s="232">
        <v>0</v>
      </c>
      <c r="G104" s="158">
        <v>6</v>
      </c>
      <c r="H104" s="235">
        <v>0</v>
      </c>
      <c r="I104" s="232">
        <v>0</v>
      </c>
      <c r="J104" s="232">
        <v>0</v>
      </c>
      <c r="K104" s="232">
        <v>0</v>
      </c>
      <c r="L104" s="232">
        <v>0</v>
      </c>
      <c r="M104" s="232">
        <v>0</v>
      </c>
    </row>
    <row r="105" spans="1:13" ht="18" customHeight="1">
      <c r="A105" s="293" t="s">
        <v>313</v>
      </c>
      <c r="B105" s="290">
        <v>5500</v>
      </c>
      <c r="C105" s="158"/>
      <c r="D105" s="232">
        <v>6</v>
      </c>
      <c r="E105" s="232">
        <v>0</v>
      </c>
      <c r="F105" s="232">
        <v>0</v>
      </c>
      <c r="G105" s="158">
        <v>1</v>
      </c>
      <c r="H105" s="232">
        <v>5</v>
      </c>
      <c r="I105" s="232">
        <v>0</v>
      </c>
      <c r="J105" s="232">
        <v>0</v>
      </c>
      <c r="K105" s="232">
        <v>0</v>
      </c>
      <c r="L105" s="232">
        <v>0</v>
      </c>
      <c r="M105" s="232">
        <v>0</v>
      </c>
    </row>
    <row r="106" spans="1:13" ht="18" customHeight="1">
      <c r="A106" s="234" t="s">
        <v>314</v>
      </c>
      <c r="B106" s="158">
        <v>5500</v>
      </c>
      <c r="C106" s="158"/>
      <c r="D106" s="232">
        <v>6</v>
      </c>
      <c r="F106" s="232">
        <v>0</v>
      </c>
      <c r="G106" s="232">
        <v>0</v>
      </c>
      <c r="H106" s="158">
        <v>6</v>
      </c>
      <c r="I106" s="158">
        <v>0</v>
      </c>
      <c r="J106" s="232">
        <v>0</v>
      </c>
      <c r="K106" s="232">
        <v>0</v>
      </c>
      <c r="L106" s="232">
        <v>0</v>
      </c>
      <c r="M106" s="232">
        <v>0</v>
      </c>
    </row>
    <row r="107" spans="1:13" ht="18" customHeight="1">
      <c r="A107" s="159" t="s">
        <v>315</v>
      </c>
      <c r="B107" s="158">
        <v>5500</v>
      </c>
      <c r="C107" s="158"/>
      <c r="D107" s="232">
        <v>6</v>
      </c>
      <c r="F107" s="232">
        <v>0</v>
      </c>
      <c r="G107" s="232">
        <v>0</v>
      </c>
      <c r="H107" s="158">
        <v>6</v>
      </c>
      <c r="I107" s="235">
        <v>0</v>
      </c>
      <c r="J107" s="232">
        <v>0</v>
      </c>
      <c r="K107" s="232">
        <v>0</v>
      </c>
      <c r="L107" s="232">
        <v>0</v>
      </c>
      <c r="M107" s="232">
        <v>0</v>
      </c>
    </row>
    <row r="108" spans="1:13" ht="18" customHeight="1">
      <c r="A108" s="236" t="s">
        <v>316</v>
      </c>
      <c r="B108" s="158">
        <v>5500</v>
      </c>
      <c r="C108" s="158"/>
      <c r="D108" s="232">
        <v>6</v>
      </c>
      <c r="E108" s="232">
        <v>0</v>
      </c>
      <c r="F108" s="232">
        <v>0</v>
      </c>
      <c r="G108" s="232">
        <v>0</v>
      </c>
      <c r="H108" s="158">
        <v>6</v>
      </c>
      <c r="I108" s="232">
        <v>0</v>
      </c>
      <c r="J108" s="232">
        <v>0</v>
      </c>
      <c r="K108" s="232">
        <v>0</v>
      </c>
      <c r="L108" s="232">
        <v>0</v>
      </c>
      <c r="M108" s="232">
        <v>0</v>
      </c>
    </row>
    <row r="109" spans="1:13" ht="18" customHeight="1">
      <c r="A109" s="293" t="s">
        <v>317</v>
      </c>
      <c r="B109" s="290">
        <v>5500</v>
      </c>
      <c r="C109" s="158"/>
      <c r="D109" s="232">
        <v>6</v>
      </c>
      <c r="E109" s="232">
        <v>0</v>
      </c>
      <c r="F109" s="232">
        <v>0</v>
      </c>
      <c r="G109" s="232">
        <v>0</v>
      </c>
      <c r="H109" s="232">
        <v>0</v>
      </c>
      <c r="I109" s="158">
        <v>6</v>
      </c>
      <c r="J109" s="158">
        <v>0</v>
      </c>
      <c r="K109" s="232">
        <v>0</v>
      </c>
      <c r="L109" s="232">
        <v>0</v>
      </c>
      <c r="M109" s="232">
        <v>0</v>
      </c>
    </row>
    <row r="110" spans="1:13" ht="18" customHeight="1">
      <c r="A110" s="286" t="s">
        <v>318</v>
      </c>
      <c r="B110" s="158">
        <v>5500</v>
      </c>
      <c r="C110" s="158"/>
      <c r="D110" s="232">
        <v>6</v>
      </c>
      <c r="E110" s="232">
        <v>0</v>
      </c>
      <c r="F110" s="232">
        <v>0</v>
      </c>
      <c r="G110" s="232">
        <v>0</v>
      </c>
      <c r="H110" s="232"/>
      <c r="I110" s="158">
        <v>6</v>
      </c>
      <c r="J110" s="235">
        <v>0</v>
      </c>
      <c r="K110" s="232">
        <v>0</v>
      </c>
      <c r="L110" s="232">
        <v>0</v>
      </c>
      <c r="M110" s="232">
        <v>0</v>
      </c>
    </row>
    <row r="111" spans="1:13" ht="18" customHeight="1">
      <c r="A111" s="286" t="s">
        <v>319</v>
      </c>
      <c r="B111" s="158">
        <v>5500</v>
      </c>
      <c r="C111" s="158"/>
      <c r="D111" s="232">
        <v>6</v>
      </c>
      <c r="E111" s="232">
        <v>0</v>
      </c>
      <c r="F111" s="232">
        <v>0</v>
      </c>
      <c r="G111" s="232">
        <v>0</v>
      </c>
      <c r="H111" s="232"/>
      <c r="I111" s="158">
        <v>6</v>
      </c>
      <c r="J111" s="232">
        <v>0</v>
      </c>
      <c r="K111" s="232">
        <v>0</v>
      </c>
      <c r="L111" s="232">
        <v>0</v>
      </c>
      <c r="M111" s="232">
        <v>0</v>
      </c>
    </row>
    <row r="112" spans="1:13" ht="18" customHeight="1">
      <c r="A112" s="286" t="s">
        <v>320</v>
      </c>
      <c r="B112" s="158">
        <v>5500</v>
      </c>
      <c r="C112" s="158"/>
      <c r="D112" s="232">
        <v>6</v>
      </c>
      <c r="E112" s="232">
        <v>0</v>
      </c>
      <c r="F112" s="232">
        <v>0</v>
      </c>
      <c r="G112" s="232">
        <v>0</v>
      </c>
      <c r="H112" s="232">
        <v>0</v>
      </c>
      <c r="I112" s="158">
        <v>6</v>
      </c>
      <c r="J112" s="158">
        <v>0</v>
      </c>
      <c r="K112" s="158">
        <v>0</v>
      </c>
      <c r="L112" s="158">
        <v>0</v>
      </c>
      <c r="M112" s="158">
        <v>0</v>
      </c>
    </row>
    <row r="113" spans="1:13" ht="18" customHeight="1">
      <c r="A113" s="293" t="s">
        <v>321</v>
      </c>
      <c r="B113" s="290">
        <v>5500</v>
      </c>
      <c r="C113" s="158"/>
      <c r="D113" s="232">
        <v>6</v>
      </c>
      <c r="E113" s="232">
        <v>0</v>
      </c>
      <c r="F113" s="232">
        <v>0</v>
      </c>
      <c r="G113" s="232">
        <v>0</v>
      </c>
      <c r="H113" s="232">
        <v>0</v>
      </c>
      <c r="I113" s="232">
        <v>0</v>
      </c>
      <c r="J113" s="158">
        <v>6</v>
      </c>
      <c r="K113" s="235">
        <v>0</v>
      </c>
      <c r="L113" s="235">
        <v>0</v>
      </c>
      <c r="M113" s="235">
        <v>0</v>
      </c>
    </row>
    <row r="114" spans="1:13" ht="18" customHeight="1">
      <c r="A114" s="286" t="s">
        <v>322</v>
      </c>
      <c r="B114" s="158">
        <v>5500</v>
      </c>
      <c r="C114" s="158"/>
      <c r="D114" s="232">
        <v>6</v>
      </c>
      <c r="E114" s="232">
        <v>0</v>
      </c>
      <c r="F114" s="232">
        <v>0</v>
      </c>
      <c r="G114" s="232">
        <v>0</v>
      </c>
      <c r="H114" s="232">
        <v>0</v>
      </c>
      <c r="I114" s="232">
        <v>0</v>
      </c>
      <c r="J114" s="158">
        <v>6</v>
      </c>
      <c r="K114" s="232">
        <v>0</v>
      </c>
      <c r="L114" s="232">
        <v>0</v>
      </c>
      <c r="M114" s="232">
        <v>0</v>
      </c>
    </row>
    <row r="115" spans="1:13" ht="18" customHeight="1">
      <c r="A115" s="286" t="s">
        <v>323</v>
      </c>
      <c r="B115" s="158">
        <v>5500</v>
      </c>
      <c r="C115" s="158"/>
      <c r="D115" s="232">
        <v>6</v>
      </c>
      <c r="E115" s="232">
        <v>0</v>
      </c>
      <c r="F115" s="232">
        <v>0</v>
      </c>
      <c r="G115" s="232">
        <v>0</v>
      </c>
      <c r="H115" s="232">
        <v>0</v>
      </c>
      <c r="I115" s="232">
        <v>0</v>
      </c>
      <c r="J115" s="158">
        <v>6</v>
      </c>
      <c r="K115" s="158">
        <v>0</v>
      </c>
      <c r="L115" s="158">
        <v>0</v>
      </c>
      <c r="M115" s="158">
        <v>0</v>
      </c>
    </row>
    <row r="116" spans="1:13" ht="18" customHeight="1">
      <c r="A116" s="286" t="s">
        <v>324</v>
      </c>
      <c r="B116" s="158">
        <v>5500</v>
      </c>
      <c r="C116" s="158"/>
      <c r="D116" s="232">
        <v>6</v>
      </c>
      <c r="E116" s="158">
        <v>0</v>
      </c>
      <c r="F116" s="158">
        <v>0</v>
      </c>
      <c r="G116" s="158">
        <v>0</v>
      </c>
      <c r="H116" s="158">
        <v>0</v>
      </c>
      <c r="I116" s="158">
        <v>0</v>
      </c>
      <c r="J116" s="158">
        <v>5</v>
      </c>
      <c r="K116" s="158">
        <v>0</v>
      </c>
      <c r="L116" s="158">
        <v>0</v>
      </c>
      <c r="M116" s="158">
        <v>0</v>
      </c>
    </row>
    <row r="117" spans="1:13" ht="18" customHeight="1">
      <c r="A117" s="294" t="s">
        <v>325</v>
      </c>
      <c r="B117" s="290">
        <v>5500</v>
      </c>
      <c r="C117" s="158"/>
      <c r="D117" s="232">
        <v>6</v>
      </c>
      <c r="E117" s="158">
        <v>0</v>
      </c>
      <c r="F117" s="158">
        <v>0</v>
      </c>
      <c r="G117" s="158">
        <v>0</v>
      </c>
      <c r="H117" s="158">
        <v>0</v>
      </c>
      <c r="I117" s="158">
        <v>0</v>
      </c>
      <c r="J117" s="158">
        <v>0</v>
      </c>
      <c r="K117" s="158">
        <v>6</v>
      </c>
      <c r="L117" s="158">
        <v>0</v>
      </c>
      <c r="M117" s="158">
        <v>0</v>
      </c>
    </row>
    <row r="118" spans="1:13" ht="18" customHeight="1">
      <c r="A118" s="286" t="s">
        <v>326</v>
      </c>
      <c r="B118" s="158">
        <v>5500</v>
      </c>
      <c r="C118" s="158"/>
      <c r="D118" s="232">
        <v>6</v>
      </c>
      <c r="E118" s="158">
        <v>0</v>
      </c>
      <c r="F118" s="158">
        <v>0</v>
      </c>
      <c r="G118" s="158">
        <v>0</v>
      </c>
      <c r="H118" s="158">
        <v>0</v>
      </c>
      <c r="I118" s="158">
        <v>0</v>
      </c>
      <c r="J118" s="158">
        <v>0</v>
      </c>
      <c r="K118" s="158">
        <v>6</v>
      </c>
      <c r="L118" s="158">
        <v>0</v>
      </c>
      <c r="M118" s="158">
        <v>0</v>
      </c>
    </row>
    <row r="119" spans="1:13" ht="18" customHeight="1">
      <c r="A119" s="286" t="s">
        <v>327</v>
      </c>
      <c r="B119" s="158">
        <v>5500</v>
      </c>
      <c r="C119" s="158"/>
      <c r="D119" s="232">
        <v>6</v>
      </c>
      <c r="E119" s="158">
        <v>0</v>
      </c>
      <c r="F119" s="158">
        <v>0</v>
      </c>
      <c r="G119" s="158">
        <v>0</v>
      </c>
      <c r="H119" s="158">
        <v>0</v>
      </c>
      <c r="I119" s="158">
        <v>0</v>
      </c>
      <c r="J119" s="158">
        <v>0</v>
      </c>
      <c r="K119" s="158">
        <v>6</v>
      </c>
      <c r="L119" s="158">
        <v>0</v>
      </c>
      <c r="M119" s="158">
        <v>0</v>
      </c>
    </row>
    <row r="120" spans="1:13" ht="18" customHeight="1">
      <c r="A120" s="286" t="s">
        <v>328</v>
      </c>
      <c r="B120" s="158">
        <v>5500</v>
      </c>
      <c r="C120" s="158"/>
      <c r="D120" s="232">
        <v>6</v>
      </c>
      <c r="E120" s="158">
        <v>0</v>
      </c>
      <c r="F120" s="158">
        <v>0</v>
      </c>
      <c r="G120" s="158">
        <v>0</v>
      </c>
      <c r="H120" s="158">
        <v>0</v>
      </c>
      <c r="I120" s="158">
        <v>0</v>
      </c>
      <c r="J120" s="158">
        <v>0</v>
      </c>
      <c r="K120" s="158">
        <v>4</v>
      </c>
      <c r="L120" s="158">
        <v>2</v>
      </c>
      <c r="M120" s="158">
        <v>0</v>
      </c>
    </row>
    <row r="121" spans="1:13" ht="18" customHeight="1">
      <c r="A121" s="294" t="s">
        <v>742</v>
      </c>
      <c r="B121" s="290">
        <v>5500</v>
      </c>
      <c r="C121" s="440"/>
      <c r="D121" s="232">
        <v>6</v>
      </c>
      <c r="E121" s="158"/>
      <c r="F121" s="158"/>
      <c r="G121" s="158"/>
      <c r="H121" s="158"/>
      <c r="I121" s="158"/>
      <c r="J121" s="158"/>
      <c r="K121" s="158"/>
      <c r="L121" s="158">
        <v>6</v>
      </c>
      <c r="M121" s="158"/>
    </row>
    <row r="122" spans="1:13" ht="18" customHeight="1">
      <c r="A122" s="286" t="s">
        <v>743</v>
      </c>
      <c r="B122" s="158">
        <v>5500</v>
      </c>
      <c r="C122" s="440"/>
      <c r="D122" s="232">
        <v>6</v>
      </c>
      <c r="E122" s="158"/>
      <c r="F122" s="158"/>
      <c r="G122" s="158"/>
      <c r="H122" s="158"/>
      <c r="I122" s="158"/>
      <c r="J122" s="158"/>
      <c r="K122" s="158"/>
      <c r="L122" s="158">
        <v>6</v>
      </c>
      <c r="M122" s="158"/>
    </row>
    <row r="123" spans="1:13" ht="18" customHeight="1">
      <c r="A123" s="286" t="s">
        <v>744</v>
      </c>
      <c r="B123" s="158">
        <v>5500</v>
      </c>
      <c r="C123" s="440"/>
      <c r="D123" s="232">
        <v>6</v>
      </c>
      <c r="E123" s="158"/>
      <c r="F123" s="158"/>
      <c r="G123" s="158"/>
      <c r="H123" s="158"/>
      <c r="I123" s="158"/>
      <c r="J123" s="158"/>
      <c r="K123" s="158"/>
      <c r="L123" s="158">
        <v>5</v>
      </c>
      <c r="M123" s="158">
        <v>1</v>
      </c>
    </row>
    <row r="124" spans="1:13" ht="18" customHeight="1">
      <c r="A124" s="286" t="s">
        <v>745</v>
      </c>
      <c r="B124" s="158">
        <v>5500</v>
      </c>
      <c r="C124" s="440"/>
      <c r="D124" s="232">
        <v>6</v>
      </c>
      <c r="E124" s="158"/>
      <c r="F124" s="158"/>
      <c r="G124" s="158"/>
      <c r="H124" s="158"/>
      <c r="I124" s="158"/>
      <c r="J124" s="158"/>
      <c r="K124" s="158"/>
      <c r="L124" s="158">
        <v>3</v>
      </c>
      <c r="M124" s="158">
        <v>3</v>
      </c>
    </row>
    <row r="125" spans="1:13" ht="18" customHeight="1">
      <c r="A125" s="294" t="s">
        <v>746</v>
      </c>
      <c r="B125" s="290">
        <v>5500</v>
      </c>
      <c r="C125" s="440"/>
      <c r="D125" s="232">
        <v>6</v>
      </c>
      <c r="E125" s="158"/>
      <c r="F125" s="158"/>
      <c r="G125" s="158"/>
      <c r="H125" s="158"/>
      <c r="I125" s="158"/>
      <c r="J125" s="158"/>
      <c r="K125" s="158"/>
      <c r="L125" s="158"/>
      <c r="M125" s="158">
        <v>6</v>
      </c>
    </row>
    <row r="126" spans="1:13" ht="18" customHeight="1">
      <c r="A126" s="286" t="s">
        <v>747</v>
      </c>
      <c r="B126" s="440">
        <v>5500</v>
      </c>
      <c r="C126" s="158"/>
      <c r="D126" s="232">
        <v>6</v>
      </c>
      <c r="E126" s="158"/>
      <c r="F126" s="158"/>
      <c r="G126" s="158"/>
      <c r="H126" s="158"/>
      <c r="I126" s="158"/>
      <c r="J126" s="158"/>
      <c r="K126" s="158"/>
      <c r="L126" s="158"/>
      <c r="M126" s="158">
        <v>6</v>
      </c>
    </row>
    <row r="127" spans="1:13" ht="18" customHeight="1">
      <c r="A127" s="286" t="s">
        <v>748</v>
      </c>
      <c r="B127" s="440">
        <v>5500</v>
      </c>
      <c r="C127" s="158"/>
      <c r="D127" s="232">
        <v>6</v>
      </c>
      <c r="E127" s="158"/>
      <c r="F127" s="158"/>
      <c r="G127" s="158"/>
      <c r="H127" s="158"/>
      <c r="I127" s="158"/>
      <c r="J127" s="158"/>
      <c r="K127" s="158"/>
      <c r="L127" s="158"/>
      <c r="M127" s="158">
        <v>4</v>
      </c>
    </row>
    <row r="128" spans="1:13" ht="18" customHeight="1">
      <c r="A128" s="286" t="s">
        <v>749</v>
      </c>
      <c r="B128" s="440">
        <v>5500</v>
      </c>
      <c r="C128" s="158"/>
      <c r="D128" s="232">
        <v>6</v>
      </c>
      <c r="E128" s="158"/>
      <c r="F128" s="158"/>
      <c r="G128" s="158"/>
      <c r="H128" s="158"/>
      <c r="I128" s="158"/>
      <c r="J128" s="158"/>
      <c r="K128" s="158"/>
      <c r="L128" s="158"/>
      <c r="M128" s="158">
        <v>2</v>
      </c>
    </row>
    <row r="129" spans="1:13" ht="18" customHeight="1">
      <c r="A129" s="245" t="s">
        <v>370</v>
      </c>
      <c r="B129" s="246"/>
      <c r="C129" s="246"/>
      <c r="D129" s="246"/>
      <c r="E129" s="246">
        <f>+SUM(E97:E128)</f>
        <v>4</v>
      </c>
      <c r="F129" s="246">
        <f t="shared" ref="F129:M129" si="42">+SUM(F97:F128)</f>
        <v>22</v>
      </c>
      <c r="G129" s="246">
        <f t="shared" si="42"/>
        <v>23</v>
      </c>
      <c r="H129" s="246">
        <f t="shared" si="42"/>
        <v>23</v>
      </c>
      <c r="I129" s="246">
        <f t="shared" si="42"/>
        <v>24</v>
      </c>
      <c r="J129" s="246">
        <f t="shared" si="42"/>
        <v>23</v>
      </c>
      <c r="K129" s="246">
        <f t="shared" si="42"/>
        <v>22</v>
      </c>
      <c r="L129" s="246">
        <f t="shared" si="42"/>
        <v>22</v>
      </c>
      <c r="M129" s="246">
        <f t="shared" si="42"/>
        <v>22</v>
      </c>
    </row>
    <row r="130" spans="1:13" ht="18" customHeight="1">
      <c r="A130" s="245" t="s">
        <v>371</v>
      </c>
      <c r="B130" s="246"/>
      <c r="C130" s="246"/>
      <c r="D130" s="246"/>
      <c r="E130" s="246">
        <f t="shared" ref="E130:K130" si="43">+E38</f>
        <v>0</v>
      </c>
      <c r="F130" s="246">
        <f t="shared" si="43"/>
        <v>24</v>
      </c>
      <c r="G130" s="246">
        <f t="shared" si="43"/>
        <v>44</v>
      </c>
      <c r="H130" s="246">
        <f t="shared" si="43"/>
        <v>44</v>
      </c>
      <c r="I130" s="246">
        <f t="shared" si="43"/>
        <v>44</v>
      </c>
      <c r="J130" s="246">
        <f t="shared" si="43"/>
        <v>45</v>
      </c>
      <c r="K130" s="246">
        <f t="shared" si="43"/>
        <v>44</v>
      </c>
      <c r="L130" s="246">
        <f t="shared" ref="L130:M130" si="44">+L38</f>
        <v>45</v>
      </c>
      <c r="M130" s="246">
        <f t="shared" si="44"/>
        <v>44</v>
      </c>
    </row>
    <row r="131" spans="1:13" ht="18" customHeight="1">
      <c r="A131" s="245" t="s">
        <v>377</v>
      </c>
      <c r="B131" s="246"/>
      <c r="C131" s="246"/>
      <c r="D131" s="246"/>
      <c r="E131" s="246">
        <v>1</v>
      </c>
      <c r="F131" s="246">
        <v>1</v>
      </c>
      <c r="G131" s="246">
        <v>1</v>
      </c>
      <c r="H131" s="246">
        <v>1</v>
      </c>
      <c r="I131" s="246">
        <v>1</v>
      </c>
      <c r="J131" s="246">
        <v>1</v>
      </c>
      <c r="K131" s="246">
        <v>1</v>
      </c>
      <c r="L131" s="246">
        <v>1</v>
      </c>
      <c r="M131" s="246">
        <v>1</v>
      </c>
    </row>
    <row r="132" spans="1:13" ht="31.5" customHeight="1">
      <c r="A132" s="245" t="s">
        <v>369</v>
      </c>
      <c r="B132" s="246"/>
      <c r="C132" s="246"/>
      <c r="D132" s="246"/>
      <c r="E132" s="331">
        <f>+E129*E131</f>
        <v>4</v>
      </c>
      <c r="F132" s="331">
        <f>+F129*F131</f>
        <v>22</v>
      </c>
      <c r="G132" s="331">
        <f t="shared" ref="G132:K132" si="45">+G129*G131</f>
        <v>23</v>
      </c>
      <c r="H132" s="331">
        <f t="shared" si="45"/>
        <v>23</v>
      </c>
      <c r="I132" s="331">
        <f t="shared" si="45"/>
        <v>24</v>
      </c>
      <c r="J132" s="331">
        <f t="shared" si="45"/>
        <v>23</v>
      </c>
      <c r="K132" s="331">
        <f t="shared" si="45"/>
        <v>22</v>
      </c>
      <c r="L132" s="331">
        <f t="shared" ref="L132:M132" si="46">+L129*L131</f>
        <v>22</v>
      </c>
      <c r="M132" s="331">
        <f t="shared" si="46"/>
        <v>22</v>
      </c>
    </row>
    <row r="133" spans="1:13" ht="18" customHeight="1">
      <c r="A133" s="245" t="s">
        <v>376</v>
      </c>
      <c r="B133" s="246"/>
      <c r="C133" s="246"/>
      <c r="D133" s="246"/>
      <c r="E133" s="331">
        <f t="shared" ref="E133:K133" si="47">+E40</f>
        <v>0</v>
      </c>
      <c r="F133" s="331">
        <f t="shared" si="47"/>
        <v>24</v>
      </c>
      <c r="G133" s="331">
        <f t="shared" si="47"/>
        <v>44</v>
      </c>
      <c r="H133" s="331">
        <f t="shared" si="47"/>
        <v>44</v>
      </c>
      <c r="I133" s="331">
        <f t="shared" si="47"/>
        <v>44</v>
      </c>
      <c r="J133" s="331">
        <f t="shared" si="47"/>
        <v>45</v>
      </c>
      <c r="K133" s="331">
        <f t="shared" si="47"/>
        <v>44</v>
      </c>
      <c r="L133" s="331">
        <f t="shared" ref="L133:M133" si="48">+L40</f>
        <v>45</v>
      </c>
      <c r="M133" s="331">
        <f t="shared" si="48"/>
        <v>44</v>
      </c>
    </row>
    <row r="134" spans="1:13" ht="18" customHeight="1">
      <c r="A134" s="258"/>
      <c r="B134" s="330"/>
      <c r="C134" s="330"/>
      <c r="D134" s="330"/>
      <c r="E134" s="330"/>
      <c r="F134" s="330"/>
      <c r="G134" s="330"/>
      <c r="H134" s="330"/>
      <c r="I134" s="330"/>
      <c r="J134" s="330"/>
      <c r="K134" s="330"/>
      <c r="L134" s="330"/>
      <c r="M134" s="330"/>
    </row>
    <row r="135" spans="1:13" ht="18" customHeight="1">
      <c r="A135" s="258"/>
      <c r="B135" s="330"/>
      <c r="C135" s="330"/>
      <c r="D135" s="330"/>
      <c r="E135" s="330"/>
      <c r="F135" s="330"/>
      <c r="G135" s="330"/>
      <c r="H135" s="330"/>
      <c r="I135" s="330"/>
      <c r="J135" s="330"/>
      <c r="K135" s="330"/>
      <c r="L135" s="330"/>
      <c r="M135" s="330"/>
    </row>
    <row r="136" spans="1:13" ht="18" customHeight="1">
      <c r="A136" s="258"/>
      <c r="B136" s="330"/>
      <c r="C136" s="330"/>
      <c r="D136" s="330"/>
      <c r="E136" s="330"/>
      <c r="F136" s="330"/>
      <c r="G136" s="330"/>
      <c r="H136" s="330"/>
      <c r="I136" s="330"/>
      <c r="J136" s="330"/>
      <c r="K136" s="330"/>
      <c r="L136" s="330"/>
      <c r="M136" s="330"/>
    </row>
    <row r="137" spans="1:13" ht="18" customHeight="1">
      <c r="A137" s="35"/>
    </row>
    <row r="138" spans="1:13" ht="18" customHeight="1">
      <c r="A138" s="245" t="s">
        <v>164</v>
      </c>
      <c r="B138" s="254"/>
      <c r="C138" s="254"/>
      <c r="D138" s="254"/>
      <c r="E138" s="254"/>
      <c r="F138" s="254"/>
      <c r="G138" s="254"/>
      <c r="H138" s="254"/>
      <c r="I138" s="254"/>
      <c r="J138" s="254"/>
      <c r="K138" s="254"/>
      <c r="L138" s="254"/>
      <c r="M138" s="254"/>
    </row>
    <row r="139" spans="1:13" ht="18" customHeight="1">
      <c r="A139" s="254"/>
      <c r="B139" s="254"/>
      <c r="C139" s="254"/>
      <c r="D139" s="254"/>
      <c r="E139" s="254"/>
      <c r="F139" s="254"/>
      <c r="G139" s="254"/>
      <c r="H139" s="254"/>
      <c r="I139" s="254"/>
      <c r="J139" s="254"/>
      <c r="K139" s="254"/>
      <c r="L139" s="254"/>
      <c r="M139" s="254"/>
    </row>
    <row r="140" spans="1:13">
      <c r="A140" s="287" t="s">
        <v>157</v>
      </c>
      <c r="B140" s="159"/>
      <c r="C140" s="159"/>
      <c r="D140" s="159"/>
      <c r="E140" s="159">
        <v>1.5</v>
      </c>
      <c r="F140" s="159">
        <v>1.5</v>
      </c>
      <c r="G140" s="159">
        <v>1.5</v>
      </c>
      <c r="H140" s="159">
        <v>1.5</v>
      </c>
      <c r="I140" s="159">
        <v>1.5</v>
      </c>
      <c r="J140" s="159">
        <v>1.5</v>
      </c>
      <c r="K140" s="159">
        <v>1.5</v>
      </c>
      <c r="L140" s="159">
        <v>1.5</v>
      </c>
      <c r="M140" s="159">
        <v>1.5</v>
      </c>
    </row>
    <row r="141" spans="1:13">
      <c r="A141" s="287" t="s">
        <v>158</v>
      </c>
      <c r="B141" s="159"/>
      <c r="C141" s="159"/>
      <c r="D141" s="159"/>
      <c r="E141" s="159">
        <v>4.5</v>
      </c>
      <c r="F141" s="159">
        <v>4.5</v>
      </c>
      <c r="G141" s="159">
        <v>4.5</v>
      </c>
      <c r="H141" s="159">
        <v>4.5</v>
      </c>
      <c r="I141" s="159">
        <v>4.5</v>
      </c>
      <c r="J141" s="159">
        <v>4.5</v>
      </c>
      <c r="K141" s="159">
        <v>4.5</v>
      </c>
      <c r="L141" s="159">
        <v>4.5</v>
      </c>
      <c r="M141" s="159">
        <v>4.5</v>
      </c>
    </row>
    <row r="142" spans="1:13">
      <c r="A142" s="287" t="s">
        <v>275</v>
      </c>
      <c r="B142" s="159"/>
      <c r="C142" s="159"/>
      <c r="D142" s="159"/>
      <c r="E142" s="159">
        <v>3</v>
      </c>
      <c r="F142" s="159">
        <v>3</v>
      </c>
      <c r="G142" s="159">
        <v>3</v>
      </c>
      <c r="H142" s="159">
        <v>3</v>
      </c>
      <c r="I142" s="159">
        <v>3</v>
      </c>
      <c r="J142" s="159">
        <v>3</v>
      </c>
      <c r="K142" s="159">
        <v>3</v>
      </c>
      <c r="L142" s="159">
        <v>3</v>
      </c>
      <c r="M142" s="159">
        <v>3</v>
      </c>
    </row>
    <row r="143" spans="1:13">
      <c r="A143" s="287"/>
      <c r="B143" s="159"/>
      <c r="C143" s="159"/>
      <c r="D143" s="159"/>
      <c r="E143" s="159"/>
      <c r="F143" s="159"/>
      <c r="G143" s="159"/>
      <c r="H143" s="159"/>
      <c r="I143" s="159"/>
      <c r="J143" s="159"/>
      <c r="K143" s="159"/>
      <c r="L143" s="159"/>
      <c r="M143" s="159"/>
    </row>
    <row r="144" spans="1:13">
      <c r="A144" s="287" t="s">
        <v>159</v>
      </c>
      <c r="B144" s="159"/>
      <c r="C144" s="159"/>
      <c r="D144" s="159"/>
      <c r="E144" s="252">
        <f>+E132*E140*5500/1000</f>
        <v>33</v>
      </c>
      <c r="F144" s="252">
        <f t="shared" ref="F144:K144" si="49">+F132*F140*5500/1000</f>
        <v>181.5</v>
      </c>
      <c r="G144" s="252">
        <f t="shared" si="49"/>
        <v>189.75</v>
      </c>
      <c r="H144" s="252">
        <f t="shared" si="49"/>
        <v>189.75</v>
      </c>
      <c r="I144" s="252">
        <f t="shared" si="49"/>
        <v>198</v>
      </c>
      <c r="J144" s="252">
        <f t="shared" si="49"/>
        <v>189.75</v>
      </c>
      <c r="K144" s="252">
        <f t="shared" si="49"/>
        <v>181.5</v>
      </c>
      <c r="L144" s="252">
        <f t="shared" ref="L144:M144" si="50">+L132*L140*5500/1000</f>
        <v>181.5</v>
      </c>
      <c r="M144" s="252">
        <f t="shared" si="50"/>
        <v>181.5</v>
      </c>
    </row>
    <row r="145" spans="1:13">
      <c r="A145" s="287" t="s">
        <v>160</v>
      </c>
      <c r="B145" s="159"/>
      <c r="C145" s="159"/>
      <c r="D145" s="159"/>
      <c r="E145" s="252">
        <f>+E133*E141*5500/1000</f>
        <v>0</v>
      </c>
      <c r="F145" s="252">
        <f t="shared" ref="F145:K145" si="51">+F133*F141*5500/1000</f>
        <v>594</v>
      </c>
      <c r="G145" s="252">
        <f t="shared" si="51"/>
        <v>1089</v>
      </c>
      <c r="H145" s="252">
        <f t="shared" si="51"/>
        <v>1089</v>
      </c>
      <c r="I145" s="252">
        <f t="shared" si="51"/>
        <v>1089</v>
      </c>
      <c r="J145" s="252">
        <f t="shared" si="51"/>
        <v>1113.75</v>
      </c>
      <c r="K145" s="252">
        <f t="shared" si="51"/>
        <v>1089</v>
      </c>
      <c r="L145" s="252">
        <f t="shared" ref="L145:M145" si="52">+L133*L141*5500/1000</f>
        <v>1113.75</v>
      </c>
      <c r="M145" s="252">
        <f t="shared" si="52"/>
        <v>1089</v>
      </c>
    </row>
    <row r="146" spans="1:13">
      <c r="A146" s="287" t="s">
        <v>277</v>
      </c>
      <c r="B146" s="159"/>
      <c r="C146" s="159"/>
      <c r="D146" s="159"/>
      <c r="E146" s="252">
        <f t="shared" ref="E146:K146" si="53">+E78*E142/1000</f>
        <v>0</v>
      </c>
      <c r="F146" s="252">
        <f t="shared" si="53"/>
        <v>0</v>
      </c>
      <c r="G146" s="252">
        <f t="shared" si="53"/>
        <v>0</v>
      </c>
      <c r="H146" s="252">
        <f t="shared" si="53"/>
        <v>0</v>
      </c>
      <c r="I146" s="252">
        <f t="shared" si="53"/>
        <v>0</v>
      </c>
      <c r="J146" s="252">
        <f t="shared" si="53"/>
        <v>0</v>
      </c>
      <c r="K146" s="252">
        <f t="shared" si="53"/>
        <v>0</v>
      </c>
      <c r="L146" s="252">
        <f t="shared" ref="L146:M146" si="54">+L78*L142/1000</f>
        <v>0</v>
      </c>
      <c r="M146" s="252">
        <f t="shared" si="54"/>
        <v>0</v>
      </c>
    </row>
    <row r="147" spans="1:13">
      <c r="A147" s="253"/>
      <c r="B147" s="159"/>
      <c r="C147" s="159"/>
      <c r="D147" s="159"/>
      <c r="E147" s="159"/>
      <c r="F147" s="159"/>
      <c r="G147" s="159"/>
      <c r="H147" s="159"/>
      <c r="I147" s="159"/>
      <c r="J147" s="159"/>
      <c r="K147" s="159"/>
      <c r="L147" s="159"/>
      <c r="M147" s="159"/>
    </row>
    <row r="148" spans="1:13">
      <c r="A148" s="253" t="s">
        <v>161</v>
      </c>
      <c r="B148" s="159"/>
      <c r="C148" s="159"/>
      <c r="D148" s="159"/>
      <c r="E148" s="252">
        <f>+SUM(E144:E146)</f>
        <v>33</v>
      </c>
      <c r="F148" s="252">
        <f t="shared" ref="F148:K148" si="55">+SUM(F144:F146)</f>
        <v>775.5</v>
      </c>
      <c r="G148" s="252">
        <f t="shared" si="55"/>
        <v>1278.75</v>
      </c>
      <c r="H148" s="252">
        <f t="shared" si="55"/>
        <v>1278.75</v>
      </c>
      <c r="I148" s="252">
        <f t="shared" si="55"/>
        <v>1287</v>
      </c>
      <c r="J148" s="252">
        <f t="shared" si="55"/>
        <v>1303.5</v>
      </c>
      <c r="K148" s="252">
        <f t="shared" si="55"/>
        <v>1270.5</v>
      </c>
      <c r="L148" s="252">
        <f t="shared" ref="L148:M148" si="56">+SUM(L144:L146)</f>
        <v>1295.25</v>
      </c>
      <c r="M148" s="252">
        <f t="shared" si="56"/>
        <v>1270.5</v>
      </c>
    </row>
    <row r="149" spans="1:13">
      <c r="A149" s="253"/>
      <c r="B149" s="159"/>
      <c r="C149" s="159"/>
      <c r="D149" s="159"/>
      <c r="E149" s="159"/>
      <c r="F149" s="159"/>
      <c r="G149" s="159"/>
      <c r="H149" s="159"/>
      <c r="I149" s="159"/>
      <c r="J149" s="159"/>
      <c r="K149" s="159"/>
      <c r="L149" s="159"/>
      <c r="M149" s="159"/>
    </row>
    <row r="150" spans="1:13">
      <c r="A150" s="253" t="s">
        <v>162</v>
      </c>
      <c r="B150" s="159"/>
      <c r="C150" s="159"/>
      <c r="D150" s="159"/>
      <c r="E150" s="159">
        <v>42500</v>
      </c>
      <c r="F150" s="159">
        <v>42500</v>
      </c>
      <c r="G150" s="159">
        <v>42500</v>
      </c>
      <c r="H150" s="159">
        <v>42500</v>
      </c>
      <c r="I150" s="159">
        <v>42500</v>
      </c>
      <c r="J150" s="159">
        <v>42500</v>
      </c>
      <c r="K150" s="159">
        <v>42500</v>
      </c>
      <c r="L150" s="159">
        <v>42500</v>
      </c>
      <c r="M150" s="159">
        <v>42500</v>
      </c>
    </row>
    <row r="151" spans="1:13">
      <c r="A151" s="159"/>
      <c r="B151" s="159"/>
      <c r="C151" s="159"/>
      <c r="D151" s="159"/>
      <c r="E151" s="159"/>
      <c r="F151" s="159"/>
      <c r="G151" s="159"/>
      <c r="H151" s="159"/>
      <c r="I151" s="159"/>
      <c r="J151" s="159"/>
      <c r="K151" s="159"/>
      <c r="L151" s="159"/>
      <c r="M151" s="159"/>
    </row>
    <row r="152" spans="1:13">
      <c r="A152" s="255" t="s">
        <v>163</v>
      </c>
      <c r="B152" s="255"/>
      <c r="C152" s="255"/>
      <c r="D152" s="255"/>
      <c r="E152" s="256">
        <f>+E148*E150/10^5</f>
        <v>14.025</v>
      </c>
      <c r="F152" s="256">
        <f t="shared" ref="F152:K152" si="57">+F148*F150/10^5</f>
        <v>329.58749999999998</v>
      </c>
      <c r="G152" s="256">
        <f t="shared" si="57"/>
        <v>543.46875</v>
      </c>
      <c r="H152" s="256">
        <f t="shared" si="57"/>
        <v>543.46875</v>
      </c>
      <c r="I152" s="256">
        <f t="shared" si="57"/>
        <v>546.97500000000002</v>
      </c>
      <c r="J152" s="256">
        <f t="shared" si="57"/>
        <v>553.98749999999995</v>
      </c>
      <c r="K152" s="256">
        <f t="shared" si="57"/>
        <v>539.96249999999998</v>
      </c>
      <c r="L152" s="256">
        <f t="shared" ref="L152:M152" si="58">+L148*L150/10^5</f>
        <v>550.48125000000005</v>
      </c>
      <c r="M152" s="256">
        <f t="shared" si="58"/>
        <v>539.96249999999998</v>
      </c>
    </row>
    <row r="153" spans="1:13">
      <c r="A153" s="159"/>
      <c r="B153" s="159"/>
      <c r="C153" s="159"/>
      <c r="D153" s="159"/>
      <c r="E153" s="159"/>
      <c r="F153" s="159"/>
      <c r="G153" s="159"/>
      <c r="H153" s="159"/>
      <c r="I153" s="159"/>
      <c r="J153" s="159"/>
      <c r="K153" s="159"/>
      <c r="L153" s="159"/>
      <c r="M153" s="159"/>
    </row>
    <row r="154" spans="1:13">
      <c r="A154" s="159"/>
      <c r="B154" s="159"/>
      <c r="C154" s="159"/>
      <c r="D154" s="159"/>
      <c r="E154" s="159"/>
      <c r="F154" s="159"/>
      <c r="G154" s="159"/>
      <c r="H154" s="159"/>
      <c r="I154" s="159"/>
      <c r="J154" s="159"/>
      <c r="K154" s="159"/>
      <c r="L154" s="159"/>
      <c r="M154" s="159"/>
    </row>
    <row r="155" spans="1:13">
      <c r="A155" s="245" t="s">
        <v>165</v>
      </c>
      <c r="B155" s="254"/>
      <c r="C155" s="254"/>
      <c r="D155" s="254"/>
      <c r="E155" s="254"/>
      <c r="F155" s="254"/>
      <c r="G155" s="254"/>
      <c r="H155" s="254"/>
      <c r="I155" s="254"/>
      <c r="J155" s="254"/>
      <c r="K155" s="254"/>
      <c r="L155" s="254"/>
      <c r="M155" s="254"/>
    </row>
    <row r="156" spans="1:13">
      <c r="A156" s="254"/>
      <c r="B156" s="254"/>
      <c r="C156" s="254"/>
      <c r="D156" s="254"/>
      <c r="E156" s="254"/>
      <c r="F156" s="254"/>
      <c r="G156" s="254"/>
      <c r="H156" s="254"/>
      <c r="I156" s="254"/>
      <c r="J156" s="254"/>
      <c r="K156" s="254"/>
      <c r="L156" s="254"/>
      <c r="M156" s="254"/>
    </row>
    <row r="157" spans="1:13">
      <c r="A157" s="253" t="s">
        <v>169</v>
      </c>
      <c r="B157" s="159"/>
      <c r="C157" s="159"/>
      <c r="D157" s="159"/>
      <c r="E157" s="159">
        <v>21.11</v>
      </c>
      <c r="F157" s="159">
        <v>21.11</v>
      </c>
      <c r="G157" s="159">
        <v>21.11</v>
      </c>
      <c r="H157" s="159">
        <v>21.11</v>
      </c>
      <c r="I157" s="159">
        <v>21.11</v>
      </c>
      <c r="J157" s="159">
        <v>21.11</v>
      </c>
      <c r="K157" s="159">
        <v>21.11</v>
      </c>
      <c r="L157" s="159">
        <v>21.11</v>
      </c>
      <c r="M157" s="159">
        <v>21.11</v>
      </c>
    </row>
    <row r="158" spans="1:13">
      <c r="A158" s="253" t="s">
        <v>170</v>
      </c>
      <c r="B158" s="159"/>
      <c r="C158" s="159"/>
      <c r="D158" s="159"/>
      <c r="E158" s="159">
        <v>3.04</v>
      </c>
      <c r="F158" s="159">
        <v>3.04</v>
      </c>
      <c r="G158" s="159">
        <v>3.04</v>
      </c>
      <c r="H158" s="159">
        <v>3.04</v>
      </c>
      <c r="I158" s="159">
        <v>3.04</v>
      </c>
      <c r="J158" s="159">
        <v>3.04</v>
      </c>
      <c r="K158" s="159">
        <v>3.04</v>
      </c>
      <c r="L158" s="159">
        <v>3.04</v>
      </c>
      <c r="M158" s="159">
        <v>3.04</v>
      </c>
    </row>
    <row r="159" spans="1:13">
      <c r="A159" s="253" t="s">
        <v>278</v>
      </c>
      <c r="B159" s="159"/>
      <c r="C159" s="159"/>
      <c r="D159" s="159"/>
      <c r="E159" s="159">
        <v>3.04</v>
      </c>
      <c r="F159" s="159">
        <v>3.04</v>
      </c>
      <c r="G159" s="159">
        <v>3.04</v>
      </c>
      <c r="H159" s="159">
        <v>3.04</v>
      </c>
      <c r="I159" s="159">
        <v>3.04</v>
      </c>
      <c r="J159" s="159">
        <v>3.04</v>
      </c>
      <c r="K159" s="159">
        <v>3.04</v>
      </c>
      <c r="L159" s="159">
        <v>3.04</v>
      </c>
      <c r="M159" s="159">
        <v>3.04</v>
      </c>
    </row>
    <row r="160" spans="1:13">
      <c r="A160" s="253"/>
      <c r="B160" s="159"/>
      <c r="C160" s="159"/>
      <c r="D160" s="159"/>
      <c r="E160" s="159"/>
      <c r="F160" s="159"/>
      <c r="G160" s="159"/>
      <c r="H160" s="159"/>
      <c r="I160" s="159"/>
      <c r="J160" s="159"/>
      <c r="K160" s="159"/>
      <c r="L160" s="159"/>
      <c r="M160" s="159"/>
    </row>
    <row r="161" spans="1:13">
      <c r="A161" s="253" t="s">
        <v>166</v>
      </c>
      <c r="B161" s="159"/>
      <c r="C161" s="159"/>
      <c r="D161" s="159"/>
      <c r="E161" s="252">
        <f>+E132*E157*5500</f>
        <v>464420</v>
      </c>
      <c r="F161" s="252">
        <f t="shared" ref="F161:K161" si="59">+F132*F157*5500</f>
        <v>2554310</v>
      </c>
      <c r="G161" s="252">
        <f t="shared" si="59"/>
        <v>2670415</v>
      </c>
      <c r="H161" s="252">
        <f t="shared" si="59"/>
        <v>2670415</v>
      </c>
      <c r="I161" s="252">
        <f t="shared" si="59"/>
        <v>2786520</v>
      </c>
      <c r="J161" s="252">
        <f t="shared" si="59"/>
        <v>2670415</v>
      </c>
      <c r="K161" s="252">
        <f t="shared" si="59"/>
        <v>2554310</v>
      </c>
      <c r="L161" s="252">
        <f t="shared" ref="L161:M161" si="60">+L132*L157*5500</f>
        <v>2554310</v>
      </c>
      <c r="M161" s="252">
        <f t="shared" si="60"/>
        <v>2554310</v>
      </c>
    </row>
    <row r="162" spans="1:13">
      <c r="A162" s="253" t="s">
        <v>167</v>
      </c>
      <c r="B162" s="159"/>
      <c r="C162" s="159"/>
      <c r="D162" s="159"/>
      <c r="E162" s="252">
        <f>+E133*E158*5500</f>
        <v>0</v>
      </c>
      <c r="F162" s="252">
        <f t="shared" ref="F162:K162" si="61">+F133*F158*5500</f>
        <v>401280.00000000006</v>
      </c>
      <c r="G162" s="252">
        <f t="shared" si="61"/>
        <v>735680</v>
      </c>
      <c r="H162" s="252">
        <f t="shared" si="61"/>
        <v>735680</v>
      </c>
      <c r="I162" s="252">
        <f t="shared" si="61"/>
        <v>735680</v>
      </c>
      <c r="J162" s="252">
        <f t="shared" si="61"/>
        <v>752400.00000000012</v>
      </c>
      <c r="K162" s="252">
        <f t="shared" si="61"/>
        <v>735680</v>
      </c>
      <c r="L162" s="252">
        <f t="shared" ref="L162:M162" si="62">+L133*L158*5500</f>
        <v>752400.00000000012</v>
      </c>
      <c r="M162" s="252">
        <f t="shared" si="62"/>
        <v>735680</v>
      </c>
    </row>
    <row r="163" spans="1:13">
      <c r="A163" s="253" t="s">
        <v>279</v>
      </c>
      <c r="B163" s="159"/>
      <c r="C163" s="159"/>
      <c r="D163" s="159"/>
      <c r="E163" s="252">
        <f>+E159*'Production, Revenue &amp; Profit'!E80</f>
        <v>0</v>
      </c>
      <c r="F163" s="252">
        <f>+F159*'Production, Revenue &amp; Profit'!F80</f>
        <v>0</v>
      </c>
      <c r="G163" s="252">
        <f>+G159*'Production, Revenue &amp; Profit'!G80</f>
        <v>0</v>
      </c>
      <c r="H163" s="252">
        <f>+H159*'Production, Revenue &amp; Profit'!H80</f>
        <v>0</v>
      </c>
      <c r="I163" s="252">
        <f>+I159*'Production, Revenue &amp; Profit'!I80</f>
        <v>0</v>
      </c>
      <c r="J163" s="252">
        <f>+J159*'Production, Revenue &amp; Profit'!J80</f>
        <v>0</v>
      </c>
      <c r="K163" s="252">
        <f>+K159*'Production, Revenue &amp; Profit'!K80</f>
        <v>0</v>
      </c>
      <c r="L163" s="252">
        <f>+L159*'Production, Revenue &amp; Profit'!L80</f>
        <v>0</v>
      </c>
      <c r="M163" s="252">
        <f>+M159*'Production, Revenue &amp; Profit'!M80</f>
        <v>0</v>
      </c>
    </row>
    <row r="164" spans="1:13">
      <c r="A164" s="253"/>
      <c r="B164" s="159"/>
      <c r="C164" s="159"/>
      <c r="D164" s="159"/>
      <c r="E164" s="159"/>
      <c r="F164" s="159"/>
      <c r="G164" s="159"/>
      <c r="H164" s="159"/>
      <c r="I164" s="159"/>
      <c r="J164" s="159"/>
      <c r="K164" s="159"/>
      <c r="L164" s="159"/>
      <c r="M164" s="159"/>
    </row>
    <row r="165" spans="1:13">
      <c r="A165" s="245" t="s">
        <v>168</v>
      </c>
      <c r="B165" s="245"/>
      <c r="C165" s="245"/>
      <c r="D165" s="245"/>
      <c r="E165" s="260">
        <f>(+E161+E162+E163)/10^5</f>
        <v>4.6441999999999997</v>
      </c>
      <c r="F165" s="260">
        <f t="shared" ref="F165:K165" si="63">(+F161+F162+F163)/10^5</f>
        <v>29.555900000000001</v>
      </c>
      <c r="G165" s="260">
        <f t="shared" si="63"/>
        <v>34.060949999999998</v>
      </c>
      <c r="H165" s="260">
        <f t="shared" si="63"/>
        <v>34.060949999999998</v>
      </c>
      <c r="I165" s="260">
        <f t="shared" si="63"/>
        <v>35.222000000000001</v>
      </c>
      <c r="J165" s="260">
        <f t="shared" si="63"/>
        <v>34.228149999999999</v>
      </c>
      <c r="K165" s="260">
        <f t="shared" si="63"/>
        <v>32.899900000000002</v>
      </c>
      <c r="L165" s="260">
        <f t="shared" ref="L165:M165" si="64">(+L161+L162+L163)/10^5</f>
        <v>33.067100000000003</v>
      </c>
      <c r="M165" s="260">
        <f t="shared" si="64"/>
        <v>32.899900000000002</v>
      </c>
    </row>
    <row r="166" spans="1:13">
      <c r="A166" s="258"/>
      <c r="B166" s="258"/>
      <c r="C166" s="258"/>
      <c r="D166" s="258"/>
      <c r="E166" s="259"/>
      <c r="F166" s="259"/>
      <c r="G166" s="259"/>
      <c r="H166" s="259"/>
      <c r="I166" s="259"/>
      <c r="J166" s="259"/>
      <c r="K166" s="259"/>
      <c r="L166" s="259"/>
      <c r="M166" s="259"/>
    </row>
    <row r="167" spans="1:13">
      <c r="A167" s="258" t="s">
        <v>173</v>
      </c>
      <c r="B167" s="258"/>
      <c r="C167" s="258"/>
      <c r="D167" s="258"/>
      <c r="E167" s="259"/>
      <c r="F167" s="259"/>
      <c r="G167" s="259"/>
      <c r="H167" s="259"/>
      <c r="I167" s="259"/>
      <c r="J167" s="259"/>
      <c r="K167" s="259"/>
      <c r="L167" s="259"/>
      <c r="M167" s="259"/>
    </row>
    <row r="168" spans="1:13">
      <c r="A168" s="233" t="s">
        <v>372</v>
      </c>
      <c r="B168" s="233"/>
      <c r="C168" s="233"/>
      <c r="D168" s="233"/>
      <c r="E168" s="261">
        <v>11000</v>
      </c>
      <c r="F168" s="261">
        <v>16500</v>
      </c>
      <c r="G168" s="261">
        <v>22000</v>
      </c>
      <c r="H168" s="261">
        <v>22000</v>
      </c>
      <c r="I168" s="261">
        <v>22000</v>
      </c>
      <c r="J168" s="261">
        <v>22000</v>
      </c>
      <c r="K168" s="261">
        <v>22000</v>
      </c>
      <c r="L168" s="261">
        <v>22000</v>
      </c>
      <c r="M168" s="261">
        <v>22000</v>
      </c>
    </row>
    <row r="169" spans="1:13">
      <c r="A169" s="233" t="s">
        <v>412</v>
      </c>
      <c r="B169" s="233"/>
      <c r="C169" s="233"/>
      <c r="D169" s="233"/>
      <c r="E169" s="261"/>
      <c r="F169" s="232">
        <v>1</v>
      </c>
      <c r="G169" s="232">
        <v>1</v>
      </c>
      <c r="H169" s="232">
        <v>1</v>
      </c>
      <c r="I169" s="232">
        <v>1</v>
      </c>
      <c r="J169" s="232">
        <v>1</v>
      </c>
      <c r="K169" s="232">
        <v>1</v>
      </c>
      <c r="L169" s="232">
        <v>1</v>
      </c>
      <c r="M169" s="232">
        <v>1</v>
      </c>
    </row>
    <row r="170" spans="1:13">
      <c r="A170" s="245" t="s">
        <v>413</v>
      </c>
      <c r="B170" s="245"/>
      <c r="C170" s="245"/>
      <c r="D170" s="245"/>
      <c r="E170" s="260"/>
      <c r="F170" s="260">
        <f>+F168*F169</f>
        <v>16500</v>
      </c>
      <c r="G170" s="260">
        <f t="shared" ref="G170:K170" si="65">+G168*G169</f>
        <v>22000</v>
      </c>
      <c r="H170" s="260">
        <f t="shared" si="65"/>
        <v>22000</v>
      </c>
      <c r="I170" s="260">
        <f t="shared" si="65"/>
        <v>22000</v>
      </c>
      <c r="J170" s="260">
        <f t="shared" si="65"/>
        <v>22000</v>
      </c>
      <c r="K170" s="260">
        <f t="shared" si="65"/>
        <v>22000</v>
      </c>
      <c r="L170" s="260">
        <f t="shared" ref="L170:M170" si="66">+L168*L169</f>
        <v>22000</v>
      </c>
      <c r="M170" s="260">
        <f t="shared" si="66"/>
        <v>22000</v>
      </c>
    </row>
    <row r="171" spans="1:13">
      <c r="A171" s="233" t="s">
        <v>414</v>
      </c>
      <c r="B171" s="233"/>
      <c r="C171" s="233"/>
      <c r="D171" s="233"/>
      <c r="E171" s="261">
        <f>+E168*0.15</f>
        <v>1650</v>
      </c>
      <c r="F171" s="261">
        <f>+F170*0.15</f>
        <v>2475</v>
      </c>
      <c r="G171" s="261">
        <f t="shared" ref="G171:K171" si="67">+G170*0.15</f>
        <v>3300</v>
      </c>
      <c r="H171" s="261">
        <f t="shared" si="67"/>
        <v>3300</v>
      </c>
      <c r="I171" s="261">
        <f t="shared" si="67"/>
        <v>3300</v>
      </c>
      <c r="J171" s="261">
        <f t="shared" si="67"/>
        <v>3300</v>
      </c>
      <c r="K171" s="261">
        <f t="shared" si="67"/>
        <v>3300</v>
      </c>
      <c r="L171" s="261">
        <f t="shared" ref="L171:M171" si="68">+L170*0.15</f>
        <v>3300</v>
      </c>
      <c r="M171" s="261">
        <f t="shared" si="68"/>
        <v>3300</v>
      </c>
    </row>
    <row r="172" spans="1:13">
      <c r="A172" s="233"/>
      <c r="B172" s="233"/>
      <c r="C172" s="233"/>
      <c r="D172" s="233"/>
      <c r="E172" s="261"/>
      <c r="F172" s="261"/>
      <c r="G172" s="261"/>
      <c r="H172" s="261"/>
      <c r="I172" s="261"/>
      <c r="J172" s="261"/>
      <c r="K172" s="261"/>
      <c r="L172" s="261"/>
      <c r="M172" s="261"/>
    </row>
    <row r="173" spans="1:13">
      <c r="A173" s="233" t="s">
        <v>0</v>
      </c>
      <c r="B173" s="233"/>
      <c r="C173" s="233"/>
      <c r="D173" s="233"/>
      <c r="E173" s="261">
        <f>+E168+E171</f>
        <v>12650</v>
      </c>
      <c r="F173" s="261">
        <f>+F170+F171</f>
        <v>18975</v>
      </c>
      <c r="G173" s="261">
        <f t="shared" ref="G173:K173" si="69">+G170+G171</f>
        <v>25300</v>
      </c>
      <c r="H173" s="261">
        <f t="shared" si="69"/>
        <v>25300</v>
      </c>
      <c r="I173" s="261">
        <f t="shared" si="69"/>
        <v>25300</v>
      </c>
      <c r="J173" s="261">
        <f t="shared" si="69"/>
        <v>25300</v>
      </c>
      <c r="K173" s="261">
        <f t="shared" si="69"/>
        <v>25300</v>
      </c>
      <c r="L173" s="261">
        <f t="shared" ref="L173:M173" si="70">+L170+L171</f>
        <v>25300</v>
      </c>
      <c r="M173" s="261">
        <f t="shared" si="70"/>
        <v>25300</v>
      </c>
    </row>
    <row r="174" spans="1:13">
      <c r="A174" s="233"/>
      <c r="B174" s="233"/>
      <c r="C174" s="233"/>
      <c r="D174" s="233"/>
      <c r="E174" s="261"/>
      <c r="F174" s="261"/>
      <c r="G174" s="261"/>
      <c r="H174" s="261"/>
      <c r="I174" s="261"/>
      <c r="J174" s="261"/>
      <c r="K174" s="261"/>
      <c r="L174" s="261"/>
      <c r="M174" s="261"/>
    </row>
    <row r="175" spans="1:13">
      <c r="A175" s="233" t="s">
        <v>174</v>
      </c>
      <c r="B175" s="233"/>
      <c r="C175" s="233"/>
      <c r="D175" s="233"/>
      <c r="E175" s="261">
        <v>400</v>
      </c>
      <c r="F175" s="261">
        <v>400</v>
      </c>
      <c r="G175" s="261">
        <v>400</v>
      </c>
      <c r="H175" s="261">
        <v>400</v>
      </c>
      <c r="I175" s="261">
        <v>400</v>
      </c>
      <c r="J175" s="261">
        <v>400</v>
      </c>
      <c r="K175" s="261">
        <v>400</v>
      </c>
      <c r="L175" s="261">
        <v>400</v>
      </c>
      <c r="M175" s="261">
        <v>400</v>
      </c>
    </row>
    <row r="176" spans="1:13">
      <c r="A176" s="233"/>
      <c r="B176" s="233"/>
      <c r="C176" s="233"/>
      <c r="D176" s="233"/>
      <c r="E176" s="261"/>
      <c r="F176" s="261"/>
      <c r="G176" s="261"/>
      <c r="H176" s="261"/>
      <c r="I176" s="261"/>
      <c r="J176" s="261"/>
      <c r="K176" s="261"/>
      <c r="L176" s="261"/>
      <c r="M176" s="261"/>
    </row>
    <row r="177" spans="1:13">
      <c r="A177" s="262" t="s">
        <v>175</v>
      </c>
      <c r="B177" s="262"/>
      <c r="C177" s="262"/>
      <c r="D177" s="262"/>
      <c r="E177" s="263">
        <f>+E173*E175/10^5</f>
        <v>50.6</v>
      </c>
      <c r="F177" s="263">
        <f t="shared" ref="F177:K177" si="71">+F173*F175/10^5</f>
        <v>75.900000000000006</v>
      </c>
      <c r="G177" s="263">
        <f t="shared" si="71"/>
        <v>101.2</v>
      </c>
      <c r="H177" s="263">
        <f t="shared" si="71"/>
        <v>101.2</v>
      </c>
      <c r="I177" s="263">
        <f t="shared" si="71"/>
        <v>101.2</v>
      </c>
      <c r="J177" s="263">
        <f t="shared" si="71"/>
        <v>101.2</v>
      </c>
      <c r="K177" s="263">
        <f t="shared" si="71"/>
        <v>101.2</v>
      </c>
      <c r="L177" s="263">
        <f t="shared" ref="L177:M177" si="72">+L173*L175/10^5</f>
        <v>101.2</v>
      </c>
      <c r="M177" s="263">
        <f t="shared" si="72"/>
        <v>101.2</v>
      </c>
    </row>
    <row r="178" spans="1:13" ht="18.75" customHeight="1">
      <c r="A178" s="248"/>
      <c r="B178" s="249"/>
      <c r="C178" s="249"/>
      <c r="D178" s="249"/>
      <c r="E178" s="249"/>
      <c r="F178" s="249"/>
      <c r="G178" s="249"/>
      <c r="H178" s="249"/>
      <c r="I178" s="249"/>
      <c r="J178" s="249"/>
      <c r="K178" s="249"/>
      <c r="L178" s="249"/>
      <c r="M178" s="249"/>
    </row>
    <row r="179" spans="1:13" ht="18.75" customHeight="1">
      <c r="A179" s="258" t="s">
        <v>188</v>
      </c>
      <c r="B179" s="258"/>
      <c r="C179" s="258"/>
      <c r="D179" s="258"/>
      <c r="E179" s="259"/>
      <c r="F179" s="259"/>
      <c r="G179" s="259"/>
      <c r="H179" s="259"/>
      <c r="I179" s="259"/>
      <c r="J179" s="259"/>
      <c r="K179" s="259"/>
      <c r="L179" s="259"/>
      <c r="M179" s="259"/>
    </row>
    <row r="180" spans="1:13" ht="18.75" customHeight="1">
      <c r="A180" s="233"/>
      <c r="B180" s="233"/>
      <c r="C180" s="233"/>
      <c r="D180" s="233"/>
      <c r="E180" s="261"/>
      <c r="F180" s="261"/>
      <c r="G180" s="261"/>
      <c r="H180" s="261"/>
      <c r="I180" s="261"/>
      <c r="J180" s="261"/>
      <c r="K180" s="261"/>
      <c r="L180" s="261"/>
      <c r="M180" s="261"/>
    </row>
    <row r="181" spans="1:13" ht="18.75" customHeight="1">
      <c r="A181" s="233" t="s">
        <v>189</v>
      </c>
      <c r="B181" s="233"/>
      <c r="C181" s="233"/>
      <c r="D181" s="233"/>
      <c r="E181" s="281">
        <f>+$E$55*$E$56</f>
        <v>0</v>
      </c>
      <c r="F181" s="281">
        <f>+$F$55*$F$56</f>
        <v>1987403.4782608696</v>
      </c>
      <c r="G181" s="281">
        <f>+$G$55*$G$56</f>
        <v>3643573.0434782603</v>
      </c>
      <c r="H181" s="281">
        <f>+$H$55*$H$56</f>
        <v>3643573.0434782603</v>
      </c>
      <c r="I181" s="281">
        <f>+$I$55*$I$56</f>
        <v>3643573.0434782603</v>
      </c>
      <c r="J181" s="281">
        <f>+$J$55*$J$56</f>
        <v>3726381.5217391304</v>
      </c>
      <c r="K181" s="281">
        <f>+$K$55*$K$56</f>
        <v>3643573.0434782603</v>
      </c>
      <c r="L181" s="281">
        <f t="shared" ref="L181:M181" si="73">+$K$55*$K$56</f>
        <v>3643573.0434782603</v>
      </c>
      <c r="M181" s="281">
        <f t="shared" si="73"/>
        <v>3643573.0434782603</v>
      </c>
    </row>
    <row r="182" spans="1:13" ht="18.75" customHeight="1">
      <c r="A182" s="233" t="s">
        <v>190</v>
      </c>
      <c r="B182" s="233"/>
      <c r="C182" s="233"/>
      <c r="D182" s="233"/>
      <c r="E182" s="261">
        <v>1</v>
      </c>
      <c r="F182" s="261">
        <v>1</v>
      </c>
      <c r="G182" s="261">
        <v>1</v>
      </c>
      <c r="H182" s="261">
        <v>1</v>
      </c>
      <c r="I182" s="261">
        <v>1</v>
      </c>
      <c r="J182" s="261">
        <v>1</v>
      </c>
      <c r="K182" s="261">
        <v>1</v>
      </c>
      <c r="L182" s="261">
        <v>1</v>
      </c>
      <c r="M182" s="261">
        <v>1</v>
      </c>
    </row>
    <row r="183" spans="1:13" ht="18.75" customHeight="1">
      <c r="A183" s="233" t="s">
        <v>191</v>
      </c>
      <c r="B183" s="233"/>
      <c r="C183" s="233"/>
      <c r="D183" s="233"/>
      <c r="E183" s="281">
        <f>+E181*E182</f>
        <v>0</v>
      </c>
      <c r="F183" s="281">
        <f t="shared" ref="F183:K183" si="74">+F181*F182</f>
        <v>1987403.4782608696</v>
      </c>
      <c r="G183" s="281">
        <f t="shared" si="74"/>
        <v>3643573.0434782603</v>
      </c>
      <c r="H183" s="281">
        <f t="shared" si="74"/>
        <v>3643573.0434782603</v>
      </c>
      <c r="I183" s="281">
        <f t="shared" si="74"/>
        <v>3643573.0434782603</v>
      </c>
      <c r="J183" s="281">
        <f t="shared" si="74"/>
        <v>3726381.5217391304</v>
      </c>
      <c r="K183" s="281">
        <f t="shared" si="74"/>
        <v>3643573.0434782603</v>
      </c>
      <c r="L183" s="281">
        <f t="shared" ref="L183:M183" si="75">+L181*L182</f>
        <v>3643573.0434782603</v>
      </c>
      <c r="M183" s="281">
        <f t="shared" si="75"/>
        <v>3643573.0434782603</v>
      </c>
    </row>
    <row r="184" spans="1:13" ht="18.75" customHeight="1">
      <c r="A184" s="233" t="s">
        <v>192</v>
      </c>
      <c r="B184" s="233"/>
      <c r="C184" s="233"/>
      <c r="D184" s="233"/>
      <c r="E184" s="261">
        <v>0.9</v>
      </c>
      <c r="F184" s="261">
        <v>0.9</v>
      </c>
      <c r="G184" s="261">
        <v>0.9</v>
      </c>
      <c r="H184" s="261">
        <v>0.9</v>
      </c>
      <c r="I184" s="261">
        <v>0.9</v>
      </c>
      <c r="J184" s="261">
        <v>0.9</v>
      </c>
      <c r="K184" s="261">
        <v>0.9</v>
      </c>
      <c r="L184" s="261">
        <v>0.9</v>
      </c>
      <c r="M184" s="261">
        <v>0.9</v>
      </c>
    </row>
    <row r="185" spans="1:13" ht="18.75" customHeight="1">
      <c r="A185" s="262" t="s">
        <v>175</v>
      </c>
      <c r="B185" s="262"/>
      <c r="C185" s="262"/>
      <c r="D185" s="262"/>
      <c r="E185" s="263">
        <f>+E183*E184/10^5</f>
        <v>0</v>
      </c>
      <c r="F185" s="263">
        <f t="shared" ref="F185:K185" si="76">+F183*F184/10^5</f>
        <v>17.886631304347826</v>
      </c>
      <c r="G185" s="263">
        <f t="shared" si="76"/>
        <v>32.792157391304343</v>
      </c>
      <c r="H185" s="263">
        <f t="shared" si="76"/>
        <v>32.792157391304343</v>
      </c>
      <c r="I185" s="263">
        <f t="shared" si="76"/>
        <v>32.792157391304343</v>
      </c>
      <c r="J185" s="263">
        <f t="shared" si="76"/>
        <v>33.537433695652176</v>
      </c>
      <c r="K185" s="263">
        <f t="shared" si="76"/>
        <v>32.792157391304343</v>
      </c>
      <c r="L185" s="263">
        <f t="shared" ref="L185:M185" si="77">+L183*L184/10^5</f>
        <v>32.792157391304343</v>
      </c>
      <c r="M185" s="263">
        <f t="shared" si="77"/>
        <v>32.792157391304343</v>
      </c>
    </row>
    <row r="186" spans="1:13" ht="18.75" customHeight="1">
      <c r="A186" s="248"/>
      <c r="B186" s="249"/>
      <c r="C186" s="249"/>
      <c r="D186" s="249"/>
      <c r="E186" s="249"/>
      <c r="F186" s="249"/>
      <c r="G186" s="249"/>
      <c r="H186" s="249"/>
      <c r="I186" s="249"/>
      <c r="J186" s="249"/>
      <c r="K186" s="249"/>
      <c r="L186" s="249"/>
      <c r="M186" s="249"/>
    </row>
    <row r="187" spans="1:13" ht="18.75" customHeight="1">
      <c r="A187" s="258" t="s">
        <v>193</v>
      </c>
      <c r="B187" s="258"/>
      <c r="C187" s="258"/>
      <c r="D187" s="258"/>
      <c r="E187" s="259"/>
      <c r="F187" s="259"/>
      <c r="G187" s="259"/>
      <c r="H187" s="259"/>
      <c r="I187" s="259"/>
      <c r="J187" s="259"/>
      <c r="K187" s="259"/>
      <c r="L187" s="259"/>
      <c r="M187" s="259"/>
    </row>
    <row r="188" spans="1:13" ht="18.75" customHeight="1">
      <c r="A188" s="233" t="s">
        <v>280</v>
      </c>
      <c r="B188" s="233"/>
      <c r="C188" s="233"/>
      <c r="D188" s="233"/>
      <c r="E188" s="261"/>
      <c r="F188" s="261"/>
      <c r="G188" s="261"/>
      <c r="H188" s="261"/>
      <c r="I188" s="261"/>
      <c r="J188" s="261"/>
      <c r="K188" s="261"/>
      <c r="L188" s="261"/>
      <c r="M188" s="261"/>
    </row>
    <row r="189" spans="1:13" ht="18.75" customHeight="1">
      <c r="A189" s="233" t="s">
        <v>189</v>
      </c>
      <c r="B189" s="233"/>
      <c r="C189" s="233"/>
      <c r="D189" s="233"/>
      <c r="E189" s="281">
        <f>+E181</f>
        <v>0</v>
      </c>
      <c r="F189" s="281">
        <f t="shared" ref="F189:K189" si="78">+F181</f>
        <v>1987403.4782608696</v>
      </c>
      <c r="G189" s="281">
        <f t="shared" si="78"/>
        <v>3643573.0434782603</v>
      </c>
      <c r="H189" s="281">
        <f t="shared" si="78"/>
        <v>3643573.0434782603</v>
      </c>
      <c r="I189" s="281">
        <f t="shared" si="78"/>
        <v>3643573.0434782603</v>
      </c>
      <c r="J189" s="281">
        <f t="shared" si="78"/>
        <v>3726381.5217391304</v>
      </c>
      <c r="K189" s="281">
        <f t="shared" si="78"/>
        <v>3643573.0434782603</v>
      </c>
      <c r="L189" s="281">
        <f t="shared" ref="L189:M189" si="79">+L181</f>
        <v>3643573.0434782603</v>
      </c>
      <c r="M189" s="281">
        <f t="shared" si="79"/>
        <v>3643573.0434782603</v>
      </c>
    </row>
    <row r="190" spans="1:13" ht="18.75" customHeight="1">
      <c r="A190" s="233" t="s">
        <v>194</v>
      </c>
      <c r="B190" s="233"/>
      <c r="C190" s="233"/>
      <c r="D190" s="233"/>
      <c r="E190" s="261">
        <v>0.6</v>
      </c>
      <c r="F190" s="261">
        <v>0.6</v>
      </c>
      <c r="G190" s="261">
        <v>0.6</v>
      </c>
      <c r="H190" s="261">
        <v>0.6</v>
      </c>
      <c r="I190" s="261">
        <v>0.6</v>
      </c>
      <c r="J190" s="261">
        <v>0.6</v>
      </c>
      <c r="K190" s="261">
        <v>0.6</v>
      </c>
      <c r="L190" s="261">
        <v>0.6</v>
      </c>
      <c r="M190" s="261">
        <v>0.6</v>
      </c>
    </row>
    <row r="191" spans="1:13" ht="18.75" customHeight="1">
      <c r="A191" s="233"/>
      <c r="B191" s="233"/>
      <c r="C191" s="233"/>
      <c r="D191" s="233"/>
      <c r="E191" s="261"/>
      <c r="F191" s="261"/>
      <c r="G191" s="261"/>
      <c r="H191" s="261"/>
      <c r="I191" s="261"/>
      <c r="J191" s="261"/>
      <c r="K191" s="261"/>
      <c r="L191" s="261"/>
      <c r="M191" s="261"/>
    </row>
    <row r="192" spans="1:13" ht="18.75" customHeight="1">
      <c r="A192" s="233" t="s">
        <v>281</v>
      </c>
      <c r="B192" s="233"/>
      <c r="C192" s="233"/>
      <c r="D192" s="233"/>
      <c r="E192" s="261"/>
      <c r="F192" s="261"/>
      <c r="G192" s="261"/>
      <c r="H192" s="261"/>
      <c r="I192" s="261"/>
      <c r="J192" s="261"/>
      <c r="K192" s="261"/>
      <c r="L192" s="261"/>
      <c r="M192" s="261"/>
    </row>
    <row r="193" spans="1:13" ht="18.75" customHeight="1">
      <c r="A193" s="233" t="s">
        <v>282</v>
      </c>
      <c r="B193" s="233"/>
      <c r="C193" s="233"/>
      <c r="D193" s="233"/>
      <c r="E193" s="261">
        <f t="shared" ref="E193:K193" si="80">+E80</f>
        <v>0</v>
      </c>
      <c r="F193" s="261">
        <f t="shared" si="80"/>
        <v>0</v>
      </c>
      <c r="G193" s="261">
        <f t="shared" si="80"/>
        <v>0</v>
      </c>
      <c r="H193" s="261">
        <f t="shared" si="80"/>
        <v>0</v>
      </c>
      <c r="I193" s="261">
        <f t="shared" si="80"/>
        <v>0</v>
      </c>
      <c r="J193" s="261">
        <f t="shared" si="80"/>
        <v>0</v>
      </c>
      <c r="K193" s="261">
        <f t="shared" si="80"/>
        <v>0</v>
      </c>
      <c r="L193" s="261">
        <f t="shared" ref="L193:M193" si="81">+L80</f>
        <v>0</v>
      </c>
      <c r="M193" s="261">
        <f t="shared" si="81"/>
        <v>0</v>
      </c>
    </row>
    <row r="194" spans="1:13" ht="18.75" customHeight="1">
      <c r="A194" s="233" t="s">
        <v>283</v>
      </c>
      <c r="B194" s="233"/>
      <c r="C194" s="233"/>
      <c r="D194" s="233"/>
      <c r="E194" s="2">
        <v>1.5</v>
      </c>
      <c r="F194" s="2">
        <v>1.5</v>
      </c>
      <c r="G194" s="2">
        <v>1.5</v>
      </c>
      <c r="H194" s="2">
        <v>1.5</v>
      </c>
      <c r="I194" s="2">
        <v>1.5</v>
      </c>
      <c r="J194" s="2">
        <v>1.5</v>
      </c>
      <c r="K194" s="2">
        <v>1.5</v>
      </c>
      <c r="L194" s="2">
        <v>1.5</v>
      </c>
      <c r="M194" s="2">
        <v>1.5</v>
      </c>
    </row>
    <row r="195" spans="1:13" ht="18.75" customHeight="1">
      <c r="A195" s="233"/>
      <c r="B195" s="233"/>
      <c r="C195" s="233"/>
      <c r="D195" s="233"/>
      <c r="E195" s="261"/>
      <c r="F195" s="261"/>
      <c r="G195" s="261"/>
      <c r="H195" s="261"/>
      <c r="I195" s="261"/>
      <c r="J195" s="261"/>
      <c r="K195" s="261"/>
      <c r="L195" s="261"/>
      <c r="M195" s="261"/>
    </row>
    <row r="196" spans="1:13" ht="18.75" customHeight="1">
      <c r="A196" s="233"/>
      <c r="B196" s="233"/>
      <c r="C196" s="233"/>
      <c r="D196" s="233"/>
      <c r="E196" s="261"/>
      <c r="F196" s="261"/>
      <c r="G196" s="261"/>
      <c r="H196" s="261"/>
      <c r="I196" s="261"/>
      <c r="J196" s="261"/>
      <c r="K196" s="261"/>
      <c r="L196" s="261"/>
      <c r="M196" s="261"/>
    </row>
    <row r="197" spans="1:13" ht="18.75" customHeight="1">
      <c r="A197" s="262" t="s">
        <v>175</v>
      </c>
      <c r="B197" s="262"/>
      <c r="C197" s="262"/>
      <c r="D197" s="262"/>
      <c r="E197" s="263">
        <f>+((E189*E190)+(E193*E194))/10^5</f>
        <v>0</v>
      </c>
      <c r="F197" s="263">
        <f t="shared" ref="F197:K197" si="82">+((F189*F190)+(F193*F194))/10^5</f>
        <v>11.924420869565218</v>
      </c>
      <c r="G197" s="263">
        <f t="shared" si="82"/>
        <v>21.861438260869562</v>
      </c>
      <c r="H197" s="263">
        <f t="shared" si="82"/>
        <v>21.861438260869562</v>
      </c>
      <c r="I197" s="263">
        <f t="shared" si="82"/>
        <v>21.861438260869562</v>
      </c>
      <c r="J197" s="263">
        <f t="shared" si="82"/>
        <v>22.35828913043478</v>
      </c>
      <c r="K197" s="263">
        <f t="shared" si="82"/>
        <v>21.861438260869562</v>
      </c>
      <c r="L197" s="263">
        <f t="shared" ref="L197:M197" si="83">+((L189*L190)+(L193*L194))/10^5</f>
        <v>21.861438260869562</v>
      </c>
      <c r="M197" s="263">
        <f t="shared" si="83"/>
        <v>21.861438260869562</v>
      </c>
    </row>
    <row r="198" spans="1:13" ht="18.75" customHeight="1">
      <c r="A198" s="248"/>
      <c r="B198" s="249"/>
      <c r="C198" s="249"/>
      <c r="D198" s="249"/>
      <c r="E198" s="249"/>
      <c r="F198" s="249"/>
      <c r="G198" s="249"/>
      <c r="H198" s="249"/>
      <c r="I198" s="249"/>
      <c r="J198" s="249"/>
      <c r="K198" s="249"/>
      <c r="L198" s="249"/>
      <c r="M198" s="249"/>
    </row>
    <row r="199" spans="1:13" ht="18.75" customHeight="1">
      <c r="A199" s="258" t="s">
        <v>195</v>
      </c>
      <c r="B199" s="258"/>
      <c r="C199" s="258"/>
      <c r="D199" s="258"/>
      <c r="E199" s="259"/>
      <c r="F199" s="259"/>
      <c r="G199" s="259"/>
      <c r="H199" s="259"/>
      <c r="I199" s="259"/>
      <c r="J199" s="259"/>
      <c r="K199" s="259"/>
      <c r="L199" s="259"/>
      <c r="M199" s="259"/>
    </row>
    <row r="200" spans="1:13" ht="18.75" customHeight="1">
      <c r="A200" s="233"/>
      <c r="B200" s="233"/>
      <c r="C200" s="233"/>
      <c r="D200" s="233"/>
      <c r="E200" s="261"/>
      <c r="F200" s="261"/>
      <c r="G200" s="261"/>
      <c r="H200" s="261"/>
      <c r="I200" s="261"/>
      <c r="J200" s="261"/>
      <c r="K200" s="261"/>
      <c r="L200" s="261"/>
      <c r="M200" s="261"/>
    </row>
    <row r="201" spans="1:13" ht="18.75" customHeight="1">
      <c r="A201" s="233" t="s">
        <v>189</v>
      </c>
      <c r="B201" s="233"/>
      <c r="C201" s="233"/>
      <c r="D201" s="233"/>
      <c r="E201" s="281">
        <f>+E189</f>
        <v>0</v>
      </c>
      <c r="F201" s="281">
        <f t="shared" ref="F201:K201" si="84">+F189</f>
        <v>1987403.4782608696</v>
      </c>
      <c r="G201" s="281">
        <f t="shared" si="84"/>
        <v>3643573.0434782603</v>
      </c>
      <c r="H201" s="281">
        <f t="shared" si="84"/>
        <v>3643573.0434782603</v>
      </c>
      <c r="I201" s="281">
        <f t="shared" si="84"/>
        <v>3643573.0434782603</v>
      </c>
      <c r="J201" s="281">
        <f t="shared" si="84"/>
        <v>3726381.5217391304</v>
      </c>
      <c r="K201" s="281">
        <f t="shared" si="84"/>
        <v>3643573.0434782603</v>
      </c>
      <c r="L201" s="281">
        <f t="shared" ref="L201:M201" si="85">+L189</f>
        <v>3643573.0434782603</v>
      </c>
      <c r="M201" s="281">
        <f t="shared" si="85"/>
        <v>3643573.0434782603</v>
      </c>
    </row>
    <row r="202" spans="1:13" ht="18.75" customHeight="1">
      <c r="A202" s="233" t="s">
        <v>194</v>
      </c>
      <c r="B202" s="233"/>
      <c r="C202" s="233"/>
      <c r="D202" s="233"/>
      <c r="E202" s="261">
        <v>0.55000000000000004</v>
      </c>
      <c r="F202" s="261">
        <v>0.55000000000000004</v>
      </c>
      <c r="G202" s="261">
        <v>0.55000000000000004</v>
      </c>
      <c r="H202" s="261">
        <v>0.55000000000000004</v>
      </c>
      <c r="I202" s="261">
        <v>0.55000000000000004</v>
      </c>
      <c r="J202" s="261">
        <v>0.55000000000000004</v>
      </c>
      <c r="K202" s="261">
        <v>0.55000000000000004</v>
      </c>
      <c r="L202" s="261">
        <v>0.55000000000000004</v>
      </c>
      <c r="M202" s="261">
        <v>0.55000000000000004</v>
      </c>
    </row>
    <row r="203" spans="1:13" ht="18.75" customHeight="1">
      <c r="A203" s="262" t="s">
        <v>175</v>
      </c>
      <c r="B203" s="262"/>
      <c r="C203" s="262"/>
      <c r="D203" s="262"/>
      <c r="E203" s="263">
        <f>+E201*E202/10^5</f>
        <v>0</v>
      </c>
      <c r="F203" s="263">
        <f t="shared" ref="F203" si="86">+F201*F202/10^5</f>
        <v>10.930719130434783</v>
      </c>
      <c r="G203" s="263">
        <f t="shared" ref="G203" si="87">+G201*G202/10^5</f>
        <v>20.039651739130431</v>
      </c>
      <c r="H203" s="263">
        <f t="shared" ref="H203" si="88">+H201*H202/10^5</f>
        <v>20.039651739130431</v>
      </c>
      <c r="I203" s="263">
        <f t="shared" ref="I203" si="89">+I201*I202/10^5</f>
        <v>20.039651739130431</v>
      </c>
      <c r="J203" s="263">
        <f t="shared" ref="J203" si="90">+J201*J202/10^5</f>
        <v>20.49509836956522</v>
      </c>
      <c r="K203" s="263">
        <f t="shared" ref="K203:M203" si="91">+K201*K202/10^5</f>
        <v>20.039651739130431</v>
      </c>
      <c r="L203" s="263">
        <f t="shared" si="91"/>
        <v>20.039651739130431</v>
      </c>
      <c r="M203" s="263">
        <f t="shared" si="91"/>
        <v>20.039651739130431</v>
      </c>
    </row>
    <row r="204" spans="1:13" ht="18.75" customHeight="1">
      <c r="A204" s="248"/>
      <c r="B204" s="249"/>
      <c r="C204" s="249"/>
      <c r="D204" s="249"/>
      <c r="E204" s="249"/>
      <c r="F204" s="249"/>
      <c r="G204" s="249"/>
      <c r="H204" s="249"/>
      <c r="I204" s="249"/>
      <c r="J204" s="249"/>
      <c r="K204" s="249"/>
      <c r="L204" s="249"/>
      <c r="M204" s="249"/>
    </row>
    <row r="205" spans="1:13" ht="18.75" customHeight="1">
      <c r="A205" s="258" t="s">
        <v>196</v>
      </c>
      <c r="B205" s="258"/>
      <c r="C205" s="258"/>
      <c r="D205" s="258"/>
      <c r="E205" s="259"/>
      <c r="F205" s="259"/>
      <c r="G205" s="259"/>
      <c r="H205" s="259"/>
      <c r="I205" s="259"/>
      <c r="J205" s="259"/>
      <c r="K205" s="259"/>
      <c r="L205" s="259"/>
      <c r="M205" s="259"/>
    </row>
    <row r="206" spans="1:13" ht="18.75" customHeight="1">
      <c r="A206" s="233"/>
      <c r="B206" s="233"/>
      <c r="C206" s="233"/>
      <c r="D206" s="233"/>
      <c r="E206" s="261"/>
      <c r="F206" s="261"/>
      <c r="G206" s="261"/>
      <c r="H206" s="261"/>
      <c r="I206" s="261"/>
      <c r="J206" s="261"/>
      <c r="K206" s="261"/>
      <c r="L206" s="261"/>
      <c r="M206" s="261"/>
    </row>
    <row r="207" spans="1:13" ht="18.75" customHeight="1">
      <c r="A207" s="233" t="s">
        <v>189</v>
      </c>
      <c r="B207" s="233"/>
      <c r="C207" s="233"/>
      <c r="D207" s="233"/>
      <c r="E207" s="281">
        <f>+E201</f>
        <v>0</v>
      </c>
      <c r="F207" s="281">
        <f t="shared" ref="F207:K207" si="92">+F201</f>
        <v>1987403.4782608696</v>
      </c>
      <c r="G207" s="281">
        <f t="shared" si="92"/>
        <v>3643573.0434782603</v>
      </c>
      <c r="H207" s="281">
        <f t="shared" si="92"/>
        <v>3643573.0434782603</v>
      </c>
      <c r="I207" s="281">
        <f t="shared" si="92"/>
        <v>3643573.0434782603</v>
      </c>
      <c r="J207" s="281">
        <f t="shared" si="92"/>
        <v>3726381.5217391304</v>
      </c>
      <c r="K207" s="281">
        <f t="shared" si="92"/>
        <v>3643573.0434782603</v>
      </c>
      <c r="L207" s="281">
        <f t="shared" ref="L207:M207" si="93">+L201</f>
        <v>3643573.0434782603</v>
      </c>
      <c r="M207" s="281">
        <f t="shared" si="93"/>
        <v>3643573.0434782603</v>
      </c>
    </row>
    <row r="208" spans="1:13" ht="18.75" customHeight="1">
      <c r="A208" s="233" t="s">
        <v>194</v>
      </c>
      <c r="B208" s="233"/>
      <c r="C208" s="233"/>
      <c r="D208" s="233"/>
      <c r="E208" s="261">
        <v>1</v>
      </c>
      <c r="F208" s="261">
        <v>1</v>
      </c>
      <c r="G208" s="261">
        <v>1</v>
      </c>
      <c r="H208" s="261">
        <v>1</v>
      </c>
      <c r="I208" s="261">
        <v>1</v>
      </c>
      <c r="J208" s="261">
        <v>1</v>
      </c>
      <c r="K208" s="261">
        <v>1</v>
      </c>
      <c r="L208" s="261">
        <v>1</v>
      </c>
      <c r="M208" s="261">
        <v>1</v>
      </c>
    </row>
    <row r="209" spans="1:13" ht="18.75" customHeight="1">
      <c r="A209" s="262" t="s">
        <v>175</v>
      </c>
      <c r="B209" s="262"/>
      <c r="C209" s="262"/>
      <c r="D209" s="262"/>
      <c r="E209" s="263">
        <f>+E207*E208/10^5</f>
        <v>0</v>
      </c>
      <c r="F209" s="263">
        <f t="shared" ref="F209" si="94">+F207*F208/10^5</f>
        <v>19.874034782608696</v>
      </c>
      <c r="G209" s="263">
        <f t="shared" ref="G209" si="95">+G207*G208/10^5</f>
        <v>36.435730434782606</v>
      </c>
      <c r="H209" s="263">
        <f t="shared" ref="H209" si="96">+H207*H208/10^5</f>
        <v>36.435730434782606</v>
      </c>
      <c r="I209" s="263">
        <f t="shared" ref="I209" si="97">+I207*I208/10^5</f>
        <v>36.435730434782606</v>
      </c>
      <c r="J209" s="263">
        <f t="shared" ref="J209" si="98">+J207*J208/10^5</f>
        <v>37.263815217391304</v>
      </c>
      <c r="K209" s="263">
        <f t="shared" ref="K209:M209" si="99">+K207*K208/10^5</f>
        <v>36.435730434782606</v>
      </c>
      <c r="L209" s="263">
        <f t="shared" si="99"/>
        <v>36.435730434782606</v>
      </c>
      <c r="M209" s="263">
        <f t="shared" si="99"/>
        <v>36.435730434782606</v>
      </c>
    </row>
    <row r="210" spans="1:13" ht="18.75" customHeight="1">
      <c r="A210" s="248"/>
      <c r="B210" s="249"/>
      <c r="C210" s="249"/>
      <c r="D210" s="249"/>
      <c r="E210" s="249"/>
      <c r="F210" s="249"/>
      <c r="G210" s="249"/>
      <c r="H210" s="249"/>
      <c r="I210" s="249"/>
      <c r="J210" s="249"/>
      <c r="K210" s="249"/>
      <c r="L210" s="249"/>
      <c r="M210" s="249"/>
    </row>
    <row r="211" spans="1:13" ht="18.75" customHeight="1">
      <c r="A211" s="248"/>
      <c r="B211" s="249"/>
      <c r="C211" s="249"/>
      <c r="D211" s="249"/>
      <c r="E211" s="249"/>
      <c r="F211" s="249"/>
      <c r="G211" s="249"/>
      <c r="H211" s="249"/>
      <c r="I211" s="249"/>
      <c r="J211" s="249"/>
      <c r="K211" s="249"/>
      <c r="L211" s="249"/>
      <c r="M211" s="249"/>
    </row>
    <row r="212" spans="1:13" ht="18.75" customHeight="1">
      <c r="A212" s="628" t="s">
        <v>228</v>
      </c>
      <c r="B212" s="628"/>
      <c r="C212" s="628"/>
      <c r="D212" s="628"/>
      <c r="E212" s="628"/>
      <c r="F212" s="628"/>
      <c r="G212" s="628"/>
      <c r="H212" s="628"/>
      <c r="I212" s="628"/>
      <c r="J212" s="628"/>
      <c r="K212" s="628"/>
      <c r="L212" s="628"/>
      <c r="M212" s="628"/>
    </row>
    <row r="213" spans="1:13" ht="36.75" customHeight="1">
      <c r="A213" s="268" t="s">
        <v>171</v>
      </c>
      <c r="B213" s="241"/>
      <c r="C213" s="241"/>
      <c r="D213" s="241" t="s">
        <v>333</v>
      </c>
      <c r="E213" s="241" t="s">
        <v>20</v>
      </c>
      <c r="F213" s="241" t="s">
        <v>21</v>
      </c>
      <c r="G213" s="241" t="s">
        <v>27</v>
      </c>
      <c r="H213" s="241" t="s">
        <v>28</v>
      </c>
      <c r="I213" s="241" t="s">
        <v>57</v>
      </c>
      <c r="J213" s="241" t="s">
        <v>138</v>
      </c>
      <c r="K213" s="241" t="s">
        <v>225</v>
      </c>
      <c r="L213" s="241" t="s">
        <v>729</v>
      </c>
      <c r="M213" s="241" t="s">
        <v>730</v>
      </c>
    </row>
    <row r="214" spans="1:13">
      <c r="A214" s="269" t="s">
        <v>156</v>
      </c>
      <c r="B214" s="270"/>
      <c r="C214" s="270"/>
      <c r="D214" s="270"/>
      <c r="E214" s="270"/>
      <c r="F214" s="270"/>
      <c r="G214" s="270"/>
      <c r="H214" s="270"/>
      <c r="I214" s="270"/>
      <c r="J214" s="270"/>
      <c r="K214" s="270"/>
      <c r="L214" s="270"/>
      <c r="M214" s="270"/>
    </row>
    <row r="215" spans="1:13">
      <c r="A215" s="247" t="s">
        <v>334</v>
      </c>
      <c r="B215" s="237"/>
      <c r="C215" s="237"/>
      <c r="D215" s="237">
        <v>0</v>
      </c>
      <c r="E215" s="237">
        <v>52.8</v>
      </c>
      <c r="F215" s="237">
        <f t="shared" ref="F215:K215" si="100">+F60+F83</f>
        <v>645.90613043478265</v>
      </c>
      <c r="G215" s="237">
        <f t="shared" si="100"/>
        <v>1184.1612391304345</v>
      </c>
      <c r="H215" s="237">
        <f t="shared" si="100"/>
        <v>1184.1612391304345</v>
      </c>
      <c r="I215" s="237">
        <f>+I60+I83</f>
        <v>1184.1612391304345</v>
      </c>
      <c r="J215" s="237">
        <f t="shared" si="100"/>
        <v>1211.0739945652174</v>
      </c>
      <c r="K215" s="237">
        <f t="shared" si="100"/>
        <v>1184.1612391304345</v>
      </c>
      <c r="L215" s="237">
        <f t="shared" ref="L215:M215" si="101">+L60+L83</f>
        <v>1211.0739945652174</v>
      </c>
      <c r="M215" s="237">
        <f t="shared" si="101"/>
        <v>1184.1612391304345</v>
      </c>
    </row>
    <row r="216" spans="1:13">
      <c r="A216" s="247" t="s">
        <v>335</v>
      </c>
      <c r="B216" s="237"/>
      <c r="C216" s="237"/>
      <c r="D216" s="237">
        <v>0</v>
      </c>
      <c r="E216" s="237">
        <v>1.8</v>
      </c>
      <c r="F216" s="237">
        <f t="shared" ref="F216:K216" si="102">+F71</f>
        <v>4.132173913043478</v>
      </c>
      <c r="G216" s="237">
        <f t="shared" si="102"/>
        <v>7.5756521739130429</v>
      </c>
      <c r="H216" s="237">
        <f t="shared" si="102"/>
        <v>7.5756521739130429</v>
      </c>
      <c r="I216" s="237">
        <f t="shared" si="102"/>
        <v>7.5756521739130429</v>
      </c>
      <c r="J216" s="237">
        <f t="shared" si="102"/>
        <v>7.747826086956521</v>
      </c>
      <c r="K216" s="237">
        <f t="shared" si="102"/>
        <v>7.5756521739130429</v>
      </c>
      <c r="L216" s="237">
        <f t="shared" ref="L216:M216" si="103">+L71</f>
        <v>7.747826086956521</v>
      </c>
      <c r="M216" s="237">
        <f t="shared" si="103"/>
        <v>7.5756521739130429</v>
      </c>
    </row>
    <row r="217" spans="1:13">
      <c r="A217" s="247" t="s">
        <v>336</v>
      </c>
      <c r="B217" s="237"/>
      <c r="C217" s="237"/>
      <c r="D217" s="237">
        <v>0</v>
      </c>
      <c r="E217" s="115">
        <v>0.87</v>
      </c>
      <c r="F217" s="115">
        <f t="shared" ref="F217:K217" si="104">+F85</f>
        <v>32.295306521739136</v>
      </c>
      <c r="G217" s="115">
        <f t="shared" si="104"/>
        <v>59.208061956521732</v>
      </c>
      <c r="H217" s="115">
        <f t="shared" si="104"/>
        <v>59.208061956521732</v>
      </c>
      <c r="I217" s="115">
        <f t="shared" si="104"/>
        <v>59.208061956521732</v>
      </c>
      <c r="J217" s="115">
        <f t="shared" si="104"/>
        <v>60.553699728260874</v>
      </c>
      <c r="K217" s="115">
        <f t="shared" si="104"/>
        <v>59.208061956521732</v>
      </c>
      <c r="L217" s="115">
        <f t="shared" ref="L217:M217" si="105">+L85</f>
        <v>60.553699728260874</v>
      </c>
      <c r="M217" s="115">
        <f t="shared" si="105"/>
        <v>59.208061956521732</v>
      </c>
    </row>
    <row r="218" spans="1:13">
      <c r="A218" s="247" t="s">
        <v>337</v>
      </c>
      <c r="B218" s="237"/>
      <c r="C218" s="237"/>
      <c r="D218" s="237">
        <v>0</v>
      </c>
      <c r="E218" s="115">
        <v>0.47</v>
      </c>
      <c r="F218" s="115">
        <v>5</v>
      </c>
      <c r="G218" s="115">
        <v>5</v>
      </c>
      <c r="H218" s="115">
        <v>5</v>
      </c>
      <c r="I218" s="115">
        <v>5</v>
      </c>
      <c r="J218" s="115">
        <v>5</v>
      </c>
      <c r="K218" s="115">
        <v>5</v>
      </c>
      <c r="L218" s="115">
        <v>5</v>
      </c>
      <c r="M218" s="115">
        <v>5</v>
      </c>
    </row>
    <row r="219" spans="1:13" ht="18.75" customHeight="1">
      <c r="A219" s="247"/>
      <c r="B219" s="237"/>
      <c r="C219" s="237"/>
      <c r="D219" s="237"/>
      <c r="E219" s="237"/>
      <c r="F219" s="237"/>
      <c r="G219" s="237"/>
      <c r="H219" s="237"/>
      <c r="I219" s="237"/>
      <c r="J219" s="237"/>
      <c r="K219" s="237"/>
      <c r="L219" s="237"/>
      <c r="M219" s="237"/>
    </row>
    <row r="220" spans="1:13">
      <c r="A220" s="271" t="s">
        <v>0</v>
      </c>
      <c r="B220" s="272"/>
      <c r="C220" s="272"/>
      <c r="D220" s="273">
        <f>+SUM(D215:D218)</f>
        <v>0</v>
      </c>
      <c r="E220" s="273">
        <f>+SUM(E215:E218)</f>
        <v>55.939999999999991</v>
      </c>
      <c r="F220" s="273">
        <f t="shared" ref="F220:K220" si="106">+SUM(F215:F218)</f>
        <v>687.33361086956529</v>
      </c>
      <c r="G220" s="273">
        <f t="shared" si="106"/>
        <v>1255.9449532608694</v>
      </c>
      <c r="H220" s="273">
        <f t="shared" si="106"/>
        <v>1255.9449532608694</v>
      </c>
      <c r="I220" s="273">
        <f t="shared" si="106"/>
        <v>1255.9449532608694</v>
      </c>
      <c r="J220" s="273">
        <f t="shared" si="106"/>
        <v>1284.3755203804349</v>
      </c>
      <c r="K220" s="273">
        <f t="shared" si="106"/>
        <v>1255.9449532608694</v>
      </c>
      <c r="L220" s="273">
        <f t="shared" ref="L220:M220" si="107">+SUM(L215:L218)</f>
        <v>1284.3755203804349</v>
      </c>
      <c r="M220" s="273">
        <f t="shared" si="107"/>
        <v>1255.9449532608694</v>
      </c>
    </row>
    <row r="221" spans="1:13">
      <c r="A221" s="12"/>
      <c r="B221" s="250"/>
      <c r="C221" s="250"/>
      <c r="D221" s="250"/>
      <c r="E221" s="250"/>
      <c r="F221" s="250"/>
      <c r="G221" s="250"/>
      <c r="H221" s="250"/>
      <c r="I221" s="250"/>
      <c r="J221" s="250"/>
      <c r="K221" s="250"/>
      <c r="L221" s="250"/>
      <c r="M221" s="250"/>
    </row>
    <row r="222" spans="1:13">
      <c r="A222" s="274" t="s">
        <v>129</v>
      </c>
      <c r="B222" s="241"/>
      <c r="C222" s="241"/>
      <c r="D222" s="241"/>
      <c r="E222" s="241"/>
      <c r="F222" s="241"/>
      <c r="G222" s="241"/>
      <c r="H222" s="241"/>
      <c r="I222" s="241"/>
      <c r="J222" s="241"/>
      <c r="K222" s="241"/>
      <c r="L222" s="241"/>
      <c r="M222" s="241"/>
    </row>
    <row r="223" spans="1:13">
      <c r="A223" s="251"/>
      <c r="B223" s="36"/>
      <c r="C223" s="36"/>
      <c r="D223" s="36"/>
      <c r="E223" s="36"/>
      <c r="F223" s="36"/>
      <c r="G223" s="36"/>
      <c r="H223" s="36"/>
      <c r="I223" s="36"/>
      <c r="J223" s="36"/>
      <c r="K223" s="36"/>
      <c r="L223" s="36"/>
      <c r="M223" s="36"/>
    </row>
    <row r="224" spans="1:13">
      <c r="A224" s="247" t="s">
        <v>178</v>
      </c>
      <c r="B224" s="36"/>
      <c r="C224" s="36"/>
      <c r="D224" s="237">
        <v>0</v>
      </c>
      <c r="E224" s="264">
        <v>99.53</v>
      </c>
      <c r="F224" s="264">
        <f t="shared" ref="F224:K224" si="108">+F177</f>
        <v>75.900000000000006</v>
      </c>
      <c r="G224" s="264">
        <f t="shared" si="108"/>
        <v>101.2</v>
      </c>
      <c r="H224" s="264">
        <f t="shared" si="108"/>
        <v>101.2</v>
      </c>
      <c r="I224" s="264">
        <f t="shared" si="108"/>
        <v>101.2</v>
      </c>
      <c r="J224" s="264">
        <f t="shared" si="108"/>
        <v>101.2</v>
      </c>
      <c r="K224" s="264">
        <f t="shared" si="108"/>
        <v>101.2</v>
      </c>
      <c r="L224" s="264">
        <f t="shared" ref="L224:M224" si="109">+L177</f>
        <v>101.2</v>
      </c>
      <c r="M224" s="264">
        <f t="shared" si="109"/>
        <v>101.2</v>
      </c>
    </row>
    <row r="225" spans="1:13">
      <c r="A225" s="247" t="s">
        <v>172</v>
      </c>
      <c r="B225" s="36"/>
      <c r="C225" s="36"/>
      <c r="D225" s="237">
        <v>0</v>
      </c>
      <c r="E225" s="264">
        <f>56.4+0.74</f>
        <v>57.14</v>
      </c>
      <c r="F225" s="264">
        <f t="shared" ref="F225:K225" si="110">+F152</f>
        <v>329.58749999999998</v>
      </c>
      <c r="G225" s="264">
        <f t="shared" si="110"/>
        <v>543.46875</v>
      </c>
      <c r="H225" s="264">
        <f t="shared" si="110"/>
        <v>543.46875</v>
      </c>
      <c r="I225" s="264">
        <f t="shared" si="110"/>
        <v>546.97500000000002</v>
      </c>
      <c r="J225" s="264">
        <f t="shared" si="110"/>
        <v>553.98749999999995</v>
      </c>
      <c r="K225" s="264">
        <f t="shared" si="110"/>
        <v>539.96249999999998</v>
      </c>
      <c r="L225" s="264">
        <f t="shared" ref="L225:M225" si="111">+L152</f>
        <v>550.48125000000005</v>
      </c>
      <c r="M225" s="264">
        <f t="shared" si="111"/>
        <v>539.96249999999998</v>
      </c>
    </row>
    <row r="226" spans="1:13">
      <c r="A226" s="247" t="s">
        <v>137</v>
      </c>
      <c r="D226" s="237">
        <v>0</v>
      </c>
      <c r="E226" s="108">
        <v>1.56</v>
      </c>
      <c r="F226" s="108">
        <f t="shared" ref="F226:K226" si="112">+F165</f>
        <v>29.555900000000001</v>
      </c>
      <c r="G226" s="108">
        <f t="shared" si="112"/>
        <v>34.060949999999998</v>
      </c>
      <c r="H226" s="108">
        <f t="shared" si="112"/>
        <v>34.060949999999998</v>
      </c>
      <c r="I226" s="108">
        <f t="shared" si="112"/>
        <v>35.222000000000001</v>
      </c>
      <c r="J226" s="108">
        <f t="shared" si="112"/>
        <v>34.228149999999999</v>
      </c>
      <c r="K226" s="108">
        <f t="shared" si="112"/>
        <v>32.899900000000002</v>
      </c>
      <c r="L226" s="108">
        <f t="shared" ref="L226:M226" si="113">+L165</f>
        <v>33.067100000000003</v>
      </c>
      <c r="M226" s="108">
        <f t="shared" si="113"/>
        <v>32.899900000000002</v>
      </c>
    </row>
    <row r="227" spans="1:13">
      <c r="A227" s="247" t="s">
        <v>197</v>
      </c>
      <c r="D227" s="237">
        <v>0</v>
      </c>
      <c r="E227" s="108">
        <v>9.6</v>
      </c>
      <c r="F227" s="108">
        <f t="shared" ref="F227:K227" si="114">+F185</f>
        <v>17.886631304347826</v>
      </c>
      <c r="G227" s="108">
        <f t="shared" si="114"/>
        <v>32.792157391304343</v>
      </c>
      <c r="H227" s="108">
        <f t="shared" si="114"/>
        <v>32.792157391304343</v>
      </c>
      <c r="I227" s="108">
        <f t="shared" si="114"/>
        <v>32.792157391304343</v>
      </c>
      <c r="J227" s="108">
        <f t="shared" si="114"/>
        <v>33.537433695652176</v>
      </c>
      <c r="K227" s="108">
        <f t="shared" si="114"/>
        <v>32.792157391304343</v>
      </c>
      <c r="L227" s="108">
        <f t="shared" ref="L227:M227" si="115">+L185</f>
        <v>32.792157391304343</v>
      </c>
      <c r="M227" s="108">
        <f t="shared" si="115"/>
        <v>32.792157391304343</v>
      </c>
    </row>
    <row r="228" spans="1:13">
      <c r="A228" s="247" t="s">
        <v>198</v>
      </c>
      <c r="D228" s="237">
        <v>0</v>
      </c>
      <c r="E228" s="108">
        <v>2.9</v>
      </c>
      <c r="F228" s="108">
        <f t="shared" ref="F228:K228" si="116">+F197</f>
        <v>11.924420869565218</v>
      </c>
      <c r="G228" s="108">
        <f t="shared" si="116"/>
        <v>21.861438260869562</v>
      </c>
      <c r="H228" s="108">
        <f t="shared" si="116"/>
        <v>21.861438260869562</v>
      </c>
      <c r="I228" s="108">
        <f t="shared" si="116"/>
        <v>21.861438260869562</v>
      </c>
      <c r="J228" s="108">
        <f t="shared" si="116"/>
        <v>22.35828913043478</v>
      </c>
      <c r="K228" s="108">
        <f t="shared" si="116"/>
        <v>21.861438260869562</v>
      </c>
      <c r="L228" s="108">
        <f t="shared" ref="L228:M228" si="117">+L197</f>
        <v>21.861438260869562</v>
      </c>
      <c r="M228" s="108">
        <f t="shared" si="117"/>
        <v>21.861438260869562</v>
      </c>
    </row>
    <row r="229" spans="1:13">
      <c r="A229" s="247" t="s">
        <v>339</v>
      </c>
      <c r="D229" s="237">
        <v>0</v>
      </c>
      <c r="E229" s="108">
        <v>2.4900000000000002</v>
      </c>
      <c r="F229" s="108">
        <f>+E229/$E$173*$F$173</f>
        <v>3.7350000000000008</v>
      </c>
      <c r="G229" s="108">
        <v>0</v>
      </c>
      <c r="H229" s="108">
        <f>+G229/$G$173*$H$173</f>
        <v>0</v>
      </c>
      <c r="I229" s="108">
        <f>+H229/$H$173*$I$173</f>
        <v>0</v>
      </c>
      <c r="J229" s="108">
        <f>+I229/$I$173*$J$173</f>
        <v>0</v>
      </c>
      <c r="K229" s="108">
        <f>+J229/$J$173*$K$173</f>
        <v>0</v>
      </c>
      <c r="L229" s="108">
        <f t="shared" ref="L229:M230" si="118">+K229/$J$173*$K$173</f>
        <v>0</v>
      </c>
      <c r="M229" s="108">
        <f t="shared" si="118"/>
        <v>0</v>
      </c>
    </row>
    <row r="230" spans="1:13">
      <c r="A230" s="247" t="s">
        <v>342</v>
      </c>
      <c r="D230" s="237">
        <v>0</v>
      </c>
      <c r="E230" s="108">
        <v>3.15</v>
      </c>
      <c r="F230" s="108">
        <f t="shared" ref="F230:F231" si="119">+E230/$E$173*$F$173</f>
        <v>4.7249999999999996</v>
      </c>
      <c r="G230" s="108">
        <v>0</v>
      </c>
      <c r="H230" s="108">
        <f t="shared" ref="H230" si="120">+G230/$G$173*$H$173</f>
        <v>0</v>
      </c>
      <c r="I230" s="108">
        <f t="shared" ref="I230" si="121">+H230/$H$173*$I$173</f>
        <v>0</v>
      </c>
      <c r="J230" s="108">
        <f t="shared" ref="J230" si="122">+I230/$I$173*$J$173</f>
        <v>0</v>
      </c>
      <c r="K230" s="108">
        <f t="shared" ref="K230" si="123">+J230/$J$173*$K$173</f>
        <v>0</v>
      </c>
      <c r="L230" s="108">
        <f t="shared" si="118"/>
        <v>0</v>
      </c>
      <c r="M230" s="108">
        <f t="shared" si="118"/>
        <v>0</v>
      </c>
    </row>
    <row r="231" spans="1:13">
      <c r="A231" s="247" t="s">
        <v>343</v>
      </c>
      <c r="D231" s="237">
        <v>0</v>
      </c>
      <c r="E231" s="108">
        <v>7.19</v>
      </c>
      <c r="F231" s="108">
        <f t="shared" si="119"/>
        <v>10.785</v>
      </c>
      <c r="G231" s="108">
        <v>0</v>
      </c>
      <c r="H231" s="108">
        <v>0</v>
      </c>
      <c r="I231" s="108">
        <v>0</v>
      </c>
      <c r="J231" s="108">
        <v>0</v>
      </c>
      <c r="K231" s="108">
        <v>0</v>
      </c>
      <c r="L231" s="108">
        <v>0</v>
      </c>
      <c r="M231" s="108">
        <v>0</v>
      </c>
    </row>
    <row r="232" spans="1:13">
      <c r="A232" s="247" t="s">
        <v>344</v>
      </c>
      <c r="D232" s="237">
        <v>0</v>
      </c>
      <c r="E232" s="108">
        <v>0.74</v>
      </c>
      <c r="F232" s="108">
        <v>3</v>
      </c>
      <c r="G232" s="108">
        <v>3</v>
      </c>
      <c r="H232" s="108">
        <v>3</v>
      </c>
      <c r="I232" s="108">
        <v>3</v>
      </c>
      <c r="J232" s="108">
        <v>3</v>
      </c>
      <c r="K232" s="108">
        <v>3</v>
      </c>
      <c r="L232" s="108">
        <v>3</v>
      </c>
      <c r="M232" s="108">
        <v>3</v>
      </c>
    </row>
    <row r="233" spans="1:13">
      <c r="A233" s="247" t="s">
        <v>338</v>
      </c>
      <c r="D233" s="237">
        <v>0</v>
      </c>
      <c r="E233" s="108">
        <v>0.09</v>
      </c>
      <c r="F233" s="108">
        <f t="shared" ref="F233:K233" si="124">+F203</f>
        <v>10.930719130434783</v>
      </c>
      <c r="G233" s="108">
        <f t="shared" si="124"/>
        <v>20.039651739130431</v>
      </c>
      <c r="H233" s="108">
        <f t="shared" si="124"/>
        <v>20.039651739130431</v>
      </c>
      <c r="I233" s="108">
        <f t="shared" si="124"/>
        <v>20.039651739130431</v>
      </c>
      <c r="J233" s="108">
        <f t="shared" si="124"/>
        <v>20.49509836956522</v>
      </c>
      <c r="K233" s="108">
        <f t="shared" si="124"/>
        <v>20.039651739130431</v>
      </c>
      <c r="L233" s="108">
        <f t="shared" ref="L233:M233" si="125">+L203</f>
        <v>20.039651739130431</v>
      </c>
      <c r="M233" s="108">
        <f t="shared" si="125"/>
        <v>20.039651739130431</v>
      </c>
    </row>
    <row r="234" spans="1:13">
      <c r="A234" s="247" t="s">
        <v>374</v>
      </c>
      <c r="D234" s="237">
        <v>0</v>
      </c>
      <c r="E234" s="108">
        <v>0.16</v>
      </c>
      <c r="F234" s="108">
        <f>+F209</f>
        <v>19.874034782608696</v>
      </c>
      <c r="G234" s="108">
        <f t="shared" ref="G234:K234" si="126">+G209</f>
        <v>36.435730434782606</v>
      </c>
      <c r="H234" s="108">
        <f t="shared" si="126"/>
        <v>36.435730434782606</v>
      </c>
      <c r="I234" s="108">
        <f t="shared" si="126"/>
        <v>36.435730434782606</v>
      </c>
      <c r="J234" s="108">
        <f t="shared" si="126"/>
        <v>37.263815217391304</v>
      </c>
      <c r="K234" s="108">
        <f t="shared" si="126"/>
        <v>36.435730434782606</v>
      </c>
      <c r="L234" s="108">
        <f t="shared" ref="L234:M234" si="127">+L209</f>
        <v>36.435730434782606</v>
      </c>
      <c r="M234" s="108">
        <f t="shared" si="127"/>
        <v>36.435730434782606</v>
      </c>
    </row>
    <row r="235" spans="1:13">
      <c r="A235" s="247" t="s">
        <v>340</v>
      </c>
      <c r="D235" s="237">
        <v>0</v>
      </c>
      <c r="E235" s="108">
        <f>4.82+2.01</f>
        <v>6.83</v>
      </c>
      <c r="F235" s="108">
        <f>+'Utilities-1'!H19</f>
        <v>27.703296000000002</v>
      </c>
      <c r="G235" s="108">
        <f>+'Utilities-1'!I19</f>
        <v>56.176127999999999</v>
      </c>
      <c r="H235" s="108">
        <f>+'Utilities-1'!J19</f>
        <v>56.176127999999999</v>
      </c>
      <c r="I235" s="108">
        <f>+'Utilities-1'!K19</f>
        <v>56.176127999999999</v>
      </c>
      <c r="J235" s="108">
        <f>+'Utilities-1'!L19</f>
        <v>56.176127999999999</v>
      </c>
      <c r="K235" s="108">
        <f>+'Utilities-1'!M19</f>
        <v>56.176127999999999</v>
      </c>
      <c r="L235" s="108">
        <f>+'Utilities-1'!N19</f>
        <v>56.176127999999999</v>
      </c>
      <c r="M235" s="108">
        <f>+'Utilities-1'!O19</f>
        <v>56.176127999999999</v>
      </c>
    </row>
    <row r="236" spans="1:13">
      <c r="A236" s="247" t="s">
        <v>211</v>
      </c>
      <c r="D236" s="1">
        <v>0.48</v>
      </c>
      <c r="E236" s="108">
        <v>7.79</v>
      </c>
      <c r="F236" s="108">
        <f>+'Human Resource'!G24</f>
        <v>70.488</v>
      </c>
      <c r="G236" s="108">
        <f>+'Human Resource'!H24</f>
        <v>140.976</v>
      </c>
      <c r="H236" s="108">
        <f>+'Human Resource'!I24</f>
        <v>140.976</v>
      </c>
      <c r="I236" s="108">
        <f>+'Human Resource'!J24</f>
        <v>140.976</v>
      </c>
      <c r="J236" s="108">
        <f>+'Human Resource'!K24</f>
        <v>140.976</v>
      </c>
      <c r="K236" s="108">
        <f>+'Human Resource'!L24</f>
        <v>140.976</v>
      </c>
      <c r="L236" s="108">
        <f>+'Human Resource'!M24</f>
        <v>140.976</v>
      </c>
      <c r="M236" s="108">
        <f>+'Human Resource'!N24</f>
        <v>140.976</v>
      </c>
    </row>
    <row r="237" spans="1:13">
      <c r="A237" s="247" t="s">
        <v>199</v>
      </c>
      <c r="D237" s="237">
        <v>0</v>
      </c>
      <c r="E237" s="108">
        <v>-165.03</v>
      </c>
      <c r="F237" s="108">
        <v>-80</v>
      </c>
      <c r="G237" s="108">
        <v>0</v>
      </c>
      <c r="H237" s="108">
        <v>0</v>
      </c>
      <c r="I237" s="108">
        <v>-30</v>
      </c>
      <c r="J237" s="108">
        <v>-20</v>
      </c>
      <c r="K237" s="108">
        <v>-30</v>
      </c>
      <c r="L237" s="108">
        <v>-30</v>
      </c>
      <c r="M237" s="108">
        <v>-30</v>
      </c>
    </row>
    <row r="238" spans="1:13">
      <c r="A238" s="12"/>
      <c r="E238" s="1" t="s">
        <v>274</v>
      </c>
    </row>
    <row r="239" spans="1:13">
      <c r="A239" s="271" t="s">
        <v>0</v>
      </c>
      <c r="B239" s="272"/>
      <c r="C239" s="273"/>
      <c r="D239" s="273">
        <f t="shared" ref="D239:K239" si="128">+SUM(D224:D237)</f>
        <v>0.48</v>
      </c>
      <c r="E239" s="273">
        <f t="shared" si="128"/>
        <v>34.140000000000043</v>
      </c>
      <c r="F239" s="273">
        <f t="shared" si="128"/>
        <v>536.09550208695646</v>
      </c>
      <c r="G239" s="273">
        <f t="shared" si="128"/>
        <v>990.01080582608711</v>
      </c>
      <c r="H239" s="273">
        <f t="shared" si="128"/>
        <v>990.01080582608711</v>
      </c>
      <c r="I239" s="273">
        <f t="shared" si="128"/>
        <v>964.67810582608706</v>
      </c>
      <c r="J239" s="273">
        <f t="shared" si="128"/>
        <v>983.22241441304345</v>
      </c>
      <c r="K239" s="273">
        <f t="shared" si="128"/>
        <v>955.34350582608704</v>
      </c>
      <c r="L239" s="273">
        <f t="shared" ref="L239:M239" si="129">+SUM(L224:L237)</f>
        <v>966.02945582608709</v>
      </c>
      <c r="M239" s="273">
        <f t="shared" si="129"/>
        <v>955.34350582608704</v>
      </c>
    </row>
    <row r="241" spans="1:13">
      <c r="A241" s="283" t="s">
        <v>176</v>
      </c>
      <c r="B241" s="265"/>
      <c r="C241" s="265"/>
      <c r="D241" s="266" t="e">
        <f t="shared" ref="D241" si="130">+D242/D220</f>
        <v>#DIV/0!</v>
      </c>
      <c r="E241" s="332">
        <f t="shared" ref="E241:K241" si="131">+E242/E220</f>
        <v>0.38970325348587687</v>
      </c>
      <c r="F241" s="332">
        <f t="shared" si="131"/>
        <v>0.2200359569078445</v>
      </c>
      <c r="G241" s="332">
        <f t="shared" si="131"/>
        <v>0.211740289050348</v>
      </c>
      <c r="H241" s="332">
        <f t="shared" si="131"/>
        <v>0.211740289050348</v>
      </c>
      <c r="I241" s="332">
        <f t="shared" si="131"/>
        <v>0.23191052018526165</v>
      </c>
      <c r="J241" s="332">
        <f t="shared" si="131"/>
        <v>0.23447434273598519</v>
      </c>
      <c r="K241" s="332">
        <f t="shared" si="131"/>
        <v>0.23934285229166818</v>
      </c>
      <c r="L241" s="332">
        <f t="shared" ref="L241:M241" si="132">+L242/L220</f>
        <v>0.24786058244091491</v>
      </c>
      <c r="M241" s="332">
        <f t="shared" si="132"/>
        <v>0.23934285229166818</v>
      </c>
    </row>
    <row r="242" spans="1:13">
      <c r="A242" s="283" t="s">
        <v>177</v>
      </c>
      <c r="B242" s="265"/>
      <c r="C242" s="267"/>
      <c r="D242" s="267">
        <f t="shared" ref="D242" si="133">+D220-D239</f>
        <v>-0.48</v>
      </c>
      <c r="E242" s="267">
        <f t="shared" ref="E242:K242" si="134">+E220-E239</f>
        <v>21.799999999999947</v>
      </c>
      <c r="F242" s="267">
        <f t="shared" si="134"/>
        <v>151.23810878260883</v>
      </c>
      <c r="G242" s="267">
        <f t="shared" si="134"/>
        <v>265.93414743478229</v>
      </c>
      <c r="H242" s="267">
        <f t="shared" si="134"/>
        <v>265.93414743478229</v>
      </c>
      <c r="I242" s="267">
        <f t="shared" si="134"/>
        <v>291.26684743478233</v>
      </c>
      <c r="J242" s="267">
        <f t="shared" si="134"/>
        <v>301.15310596739141</v>
      </c>
      <c r="K242" s="267">
        <f t="shared" si="134"/>
        <v>300.60144743478236</v>
      </c>
      <c r="L242" s="267">
        <f t="shared" ref="L242:M242" si="135">+L220-L239</f>
        <v>318.34606455434778</v>
      </c>
      <c r="M242" s="267">
        <f t="shared" si="135"/>
        <v>300.60144743478236</v>
      </c>
    </row>
    <row r="243" spans="1:13">
      <c r="A243" s="12"/>
    </row>
    <row r="244" spans="1:13">
      <c r="A244" s="12" t="s">
        <v>341</v>
      </c>
      <c r="D244" s="1">
        <v>1.4</v>
      </c>
      <c r="E244" s="108">
        <v>4.97</v>
      </c>
      <c r="F244" s="108">
        <v>7</v>
      </c>
      <c r="G244" s="108">
        <v>10</v>
      </c>
      <c r="H244" s="108">
        <v>10</v>
      </c>
      <c r="I244" s="108">
        <v>10</v>
      </c>
      <c r="J244" s="108">
        <v>10</v>
      </c>
      <c r="K244" s="108">
        <v>10</v>
      </c>
      <c r="L244" s="108">
        <v>10</v>
      </c>
      <c r="M244" s="108">
        <v>10</v>
      </c>
    </row>
    <row r="245" spans="1:13">
      <c r="A245" s="12"/>
      <c r="E245" s="108"/>
      <c r="F245" s="108"/>
      <c r="G245" s="108"/>
      <c r="H245" s="108"/>
      <c r="I245" s="108"/>
      <c r="J245" s="108"/>
      <c r="K245" s="108"/>
      <c r="L245" s="108"/>
      <c r="M245" s="108"/>
    </row>
    <row r="246" spans="1:13">
      <c r="A246" s="283" t="s">
        <v>212</v>
      </c>
      <c r="B246" s="265"/>
      <c r="C246" s="267"/>
      <c r="D246" s="267">
        <f>+D242-D244</f>
        <v>-1.88</v>
      </c>
      <c r="E246" s="267">
        <f>+E242-E244</f>
        <v>16.829999999999949</v>
      </c>
      <c r="F246" s="267">
        <f t="shared" ref="F246:K246" si="136">+F242-F244</f>
        <v>144.23810878260883</v>
      </c>
      <c r="G246" s="267">
        <f t="shared" si="136"/>
        <v>255.93414743478229</v>
      </c>
      <c r="H246" s="267">
        <f t="shared" si="136"/>
        <v>255.93414743478229</v>
      </c>
      <c r="I246" s="267">
        <f t="shared" si="136"/>
        <v>281.26684743478233</v>
      </c>
      <c r="J246" s="267">
        <f t="shared" si="136"/>
        <v>291.15310596739141</v>
      </c>
      <c r="K246" s="267">
        <f t="shared" si="136"/>
        <v>290.60144743478236</v>
      </c>
      <c r="L246" s="267">
        <f t="shared" ref="L246:M246" si="137">+L242-L244</f>
        <v>308.34606455434778</v>
      </c>
      <c r="M246" s="267">
        <f t="shared" si="137"/>
        <v>290.60144743478236</v>
      </c>
    </row>
    <row r="247" spans="1:13">
      <c r="A247" s="283"/>
      <c r="B247" s="265"/>
      <c r="C247" s="265"/>
      <c r="D247" s="265"/>
      <c r="E247" s="267"/>
      <c r="F247" s="267"/>
      <c r="G247" s="267"/>
      <c r="H247" s="267"/>
      <c r="I247" s="267"/>
      <c r="J247" s="267"/>
      <c r="K247" s="267"/>
      <c r="L247" s="267"/>
      <c r="M247" s="267"/>
    </row>
    <row r="248" spans="1:13">
      <c r="A248" s="12" t="s">
        <v>59</v>
      </c>
      <c r="D248" s="237">
        <v>0</v>
      </c>
      <c r="E248" s="108">
        <f>+'Depreciation Chart - Eco Green'!H30</f>
        <v>5.35</v>
      </c>
      <c r="F248" s="108">
        <f>+'Depreciation Chart - Eco Green'!H43</f>
        <v>30.323935215750002</v>
      </c>
      <c r="G248" s="108">
        <f>+'Depreciation Chart - Eco Green'!H56</f>
        <v>40.431913621</v>
      </c>
      <c r="H248" s="108">
        <f>+'Depreciation Chart - Eco Green'!H69</f>
        <v>40.431913621</v>
      </c>
      <c r="I248" s="108">
        <f>+'Depreciation Chart - Eco Green'!H82</f>
        <v>40.431913621</v>
      </c>
      <c r="J248" s="108">
        <f>+'Depreciation Chart - Eco Green'!H95</f>
        <v>40.431913621</v>
      </c>
      <c r="K248" s="108">
        <f>+'Depreciation Chart - Eco Green'!H108</f>
        <v>40.431913621</v>
      </c>
      <c r="L248" s="108">
        <f>+'Depreciation Chart - Eco Green'!H121</f>
        <v>40.431913621</v>
      </c>
      <c r="M248" s="108">
        <f>+'Depreciation Chart - Eco Green'!H134</f>
        <v>40.431913621</v>
      </c>
    </row>
    <row r="249" spans="1:13">
      <c r="A249" s="12"/>
      <c r="E249" s="108"/>
      <c r="F249" s="108"/>
      <c r="G249" s="108"/>
      <c r="H249" s="108"/>
      <c r="I249" s="108"/>
      <c r="J249" s="108"/>
      <c r="K249" s="108"/>
      <c r="L249" s="108"/>
      <c r="M249" s="108"/>
    </row>
    <row r="250" spans="1:13">
      <c r="A250" s="283" t="s">
        <v>213</v>
      </c>
      <c r="B250" s="265"/>
      <c r="C250" s="267"/>
      <c r="D250" s="267">
        <f>+D246-D248</f>
        <v>-1.88</v>
      </c>
      <c r="E250" s="267">
        <f>+E246-E248</f>
        <v>11.479999999999949</v>
      </c>
      <c r="F250" s="267">
        <f t="shared" ref="F250:K250" si="138">+F246-F248</f>
        <v>113.91417356685884</v>
      </c>
      <c r="G250" s="267">
        <f t="shared" si="138"/>
        <v>215.50223381378228</v>
      </c>
      <c r="H250" s="267">
        <f t="shared" si="138"/>
        <v>215.50223381378228</v>
      </c>
      <c r="I250" s="267">
        <f t="shared" si="138"/>
        <v>240.83493381378233</v>
      </c>
      <c r="J250" s="267">
        <f t="shared" si="138"/>
        <v>250.7211923463914</v>
      </c>
      <c r="K250" s="267">
        <f t="shared" si="138"/>
        <v>250.16953381378235</v>
      </c>
      <c r="L250" s="267">
        <f t="shared" ref="L250:M250" si="139">+L246-L248</f>
        <v>267.9141509333478</v>
      </c>
      <c r="M250" s="267">
        <f t="shared" si="139"/>
        <v>250.16953381378235</v>
      </c>
    </row>
    <row r="251" spans="1:13">
      <c r="A251" s="265"/>
      <c r="B251" s="265"/>
      <c r="C251" s="265"/>
      <c r="D251" s="265"/>
      <c r="E251" s="267"/>
      <c r="F251" s="267"/>
      <c r="G251" s="267"/>
      <c r="H251" s="267"/>
      <c r="I251" s="267"/>
      <c r="J251" s="267"/>
      <c r="K251" s="267"/>
      <c r="L251" s="267"/>
      <c r="M251" s="267"/>
    </row>
    <row r="252" spans="1:13">
      <c r="E252" s="282"/>
      <c r="F252" s="282"/>
      <c r="G252" s="282"/>
      <c r="H252" s="282"/>
      <c r="I252" s="282"/>
      <c r="J252" s="282"/>
      <c r="K252" s="282"/>
      <c r="L252" s="282"/>
      <c r="M252" s="282"/>
    </row>
    <row r="253" spans="1:13">
      <c r="A253" s="12" t="s">
        <v>179</v>
      </c>
      <c r="D253" s="237">
        <v>0</v>
      </c>
      <c r="E253" s="1">
        <v>4.1399999999999997</v>
      </c>
      <c r="F253" s="108">
        <f>+'TL 1 '!F72</f>
        <v>49.35</v>
      </c>
      <c r="G253" s="108">
        <f>+'TL 1 '!F86</f>
        <v>44.4</v>
      </c>
      <c r="H253" s="108">
        <f>+'TL 1 '!F100</f>
        <v>37.141071428571429</v>
      </c>
      <c r="I253" s="108">
        <f>+'TL 1 '!F114</f>
        <v>27.996428571428591</v>
      </c>
      <c r="J253" s="108">
        <f>+'TL 1 '!F128</f>
        <v>17.967857142857167</v>
      </c>
      <c r="K253" s="108">
        <f>+'TL 1 '!F142</f>
        <v>7.9392857142857336</v>
      </c>
      <c r="L253" s="108">
        <f>+'TL 1 '!F156</f>
        <v>0.4178571428571583</v>
      </c>
      <c r="M253" s="108">
        <v>0</v>
      </c>
    </row>
    <row r="254" spans="1:13">
      <c r="A254" s="12" t="s">
        <v>345</v>
      </c>
      <c r="D254" s="1">
        <v>0.01</v>
      </c>
      <c r="E254" s="1">
        <v>0.43</v>
      </c>
      <c r="F254" s="108">
        <v>1</v>
      </c>
      <c r="G254" s="108">
        <v>1</v>
      </c>
      <c r="H254" s="108">
        <v>1</v>
      </c>
      <c r="I254" s="108">
        <v>1</v>
      </c>
      <c r="J254" s="108">
        <v>1</v>
      </c>
      <c r="K254" s="108">
        <v>1</v>
      </c>
      <c r="L254" s="108">
        <v>1</v>
      </c>
      <c r="M254" s="108">
        <v>1</v>
      </c>
    </row>
    <row r="255" spans="1:13">
      <c r="A255" s="12" t="s">
        <v>180</v>
      </c>
      <c r="D255" s="237">
        <v>0</v>
      </c>
      <c r="E255" s="1">
        <v>0.55000000000000004</v>
      </c>
      <c r="F255" s="108">
        <f>+'Project BS'!D13*0.1</f>
        <v>13</v>
      </c>
      <c r="G255" s="108">
        <f>+'Project BS'!E13*0.1</f>
        <v>13</v>
      </c>
      <c r="H255" s="108">
        <f>+'Project BS'!F13*0.1</f>
        <v>13</v>
      </c>
      <c r="I255" s="108">
        <f>+'Project BS'!G13*0.1</f>
        <v>13</v>
      </c>
      <c r="J255" s="108">
        <f>+'Project BS'!H13*0.1</f>
        <v>13</v>
      </c>
      <c r="K255" s="108">
        <f>+'Project BS'!I13*0.1</f>
        <v>13</v>
      </c>
      <c r="L255" s="108">
        <f>+'Project BS'!J13*0.1</f>
        <v>13</v>
      </c>
      <c r="M255" s="108">
        <f>+'Project BS'!K13*0.1</f>
        <v>13</v>
      </c>
    </row>
    <row r="257" spans="1:13">
      <c r="A257" s="283" t="s">
        <v>214</v>
      </c>
      <c r="B257" s="265"/>
      <c r="C257" s="267"/>
      <c r="D257" s="267">
        <f>+D250-D253-D255-D254</f>
        <v>-1.89</v>
      </c>
      <c r="E257" s="267">
        <f t="shared" ref="E257:K257" si="140">+E250-E253-E255-E254</f>
        <v>6.3599999999999497</v>
      </c>
      <c r="F257" s="267">
        <f t="shared" si="140"/>
        <v>50.564173566858841</v>
      </c>
      <c r="G257" s="267">
        <f t="shared" si="140"/>
        <v>157.10223381378228</v>
      </c>
      <c r="H257" s="267">
        <f t="shared" si="140"/>
        <v>164.36116238521086</v>
      </c>
      <c r="I257" s="267">
        <f t="shared" si="140"/>
        <v>198.83850524235373</v>
      </c>
      <c r="J257" s="267">
        <f t="shared" si="140"/>
        <v>218.75333520353425</v>
      </c>
      <c r="K257" s="267">
        <f t="shared" si="140"/>
        <v>228.23024809949661</v>
      </c>
      <c r="L257" s="267">
        <f t="shared" ref="L257:M257" si="141">+L250-L253-L255-L254</f>
        <v>253.49629379049065</v>
      </c>
      <c r="M257" s="267">
        <f t="shared" si="141"/>
        <v>236.16953381378235</v>
      </c>
    </row>
    <row r="258" spans="1:13">
      <c r="A258" s="265"/>
      <c r="B258" s="265"/>
      <c r="C258" s="265"/>
      <c r="D258" s="265"/>
      <c r="E258" s="267"/>
      <c r="F258" s="267"/>
      <c r="G258" s="267"/>
      <c r="H258" s="267"/>
      <c r="I258" s="267"/>
      <c r="J258" s="267"/>
      <c r="K258" s="267"/>
      <c r="L258" s="267"/>
      <c r="M258" s="267"/>
    </row>
  </sheetData>
  <mergeCells count="3">
    <mergeCell ref="A4:M4"/>
    <mergeCell ref="A93:M93"/>
    <mergeCell ref="A212:M212"/>
  </mergeCells>
  <pageMargins left="0.7" right="0.7" top="0.75" bottom="0.75" header="0.3" footer="0.3"/>
  <pageSetup paperSize="9" scale="56" orientation="landscape" r:id="rId1"/>
  <headerFooter>
    <oddHeader>&amp;C&amp;"Book Antiqua,Bold"&amp;13</oddHeader>
    <oddFooter>&amp;C&amp;"-,Bold"&amp;12Prepared by JNR Corporate Advisory Services Private Limited, Contact details: jnr4india@gmail.com, +918602267779, +918962611446</oddFooter>
  </headerFooter>
  <rowBreaks count="5" manualBreakCount="5">
    <brk id="42" max="12" man="1"/>
    <brk id="88" max="12" man="1"/>
    <brk id="135" max="12" man="1"/>
    <brk id="180" max="12" man="1"/>
    <brk id="210"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O20"/>
  <sheetViews>
    <sheetView showGridLines="0" view="pageBreakPreview" zoomScaleSheetLayoutView="100" zoomScalePageLayoutView="154" workbookViewId="0">
      <selection activeCell="N8" sqref="N8:O19"/>
    </sheetView>
  </sheetViews>
  <sheetFormatPr defaultColWidth="9.1796875" defaultRowHeight="14.5"/>
  <cols>
    <col min="1" max="1" width="7.1796875" style="118" customWidth="1"/>
    <col min="2" max="2" width="3.26953125" style="118" customWidth="1"/>
    <col min="3" max="3" width="4.1796875" style="118" customWidth="1"/>
    <col min="4" max="5" width="9.1796875" style="118"/>
    <col min="6" max="6" width="17.453125" style="118" customWidth="1"/>
    <col min="7" max="7" width="12.7265625" style="118" customWidth="1"/>
    <col min="8" max="10" width="12.453125" style="118" customWidth="1"/>
    <col min="11" max="11" width="12.453125" style="118" bestFit="1" customWidth="1"/>
    <col min="12" max="15" width="12.453125" style="118" customWidth="1"/>
    <col min="16" max="16384" width="9.1796875" style="118"/>
  </cols>
  <sheetData>
    <row r="1" spans="1:15" ht="30" customHeight="1">
      <c r="A1" s="629" t="s">
        <v>206</v>
      </c>
      <c r="B1" s="630"/>
      <c r="C1" s="630"/>
      <c r="D1" s="630"/>
      <c r="E1" s="630"/>
      <c r="F1" s="630"/>
      <c r="G1" s="630"/>
      <c r="H1" s="630"/>
      <c r="I1" s="630"/>
      <c r="J1" s="630"/>
      <c r="K1" s="630"/>
      <c r="L1" s="257"/>
      <c r="M1" s="117"/>
      <c r="N1" s="117"/>
      <c r="O1" s="117"/>
    </row>
    <row r="2" spans="1:15">
      <c r="A2" s="119"/>
      <c r="B2" s="120"/>
      <c r="C2" s="120"/>
      <c r="D2" s="120"/>
      <c r="E2" s="120"/>
      <c r="F2" s="120"/>
      <c r="G2" s="120"/>
      <c r="H2" s="120"/>
      <c r="I2" s="121"/>
      <c r="J2" s="121"/>
      <c r="K2" s="121"/>
      <c r="L2" s="120"/>
      <c r="M2" s="122"/>
      <c r="N2" s="122"/>
      <c r="O2" s="122"/>
    </row>
    <row r="3" spans="1:15">
      <c r="A3" s="123"/>
      <c r="B3" s="124"/>
      <c r="C3" s="124"/>
      <c r="D3" s="124"/>
      <c r="E3" s="124"/>
      <c r="F3" s="124"/>
      <c r="G3" s="125"/>
      <c r="H3" s="124"/>
      <c r="I3" s="120"/>
      <c r="J3" s="120"/>
      <c r="K3" s="125" t="s">
        <v>84</v>
      </c>
      <c r="L3" s="126"/>
      <c r="M3" s="122"/>
      <c r="N3" s="122"/>
      <c r="O3" s="122"/>
    </row>
    <row r="4" spans="1:15">
      <c r="A4" s="631" t="s">
        <v>85</v>
      </c>
      <c r="B4" s="632"/>
      <c r="C4" s="632"/>
      <c r="D4" s="632"/>
      <c r="E4" s="632"/>
      <c r="F4" s="632"/>
      <c r="G4" s="126"/>
      <c r="H4" s="126" t="s">
        <v>86</v>
      </c>
      <c r="I4" s="126"/>
      <c r="J4" s="126"/>
      <c r="K4" s="120"/>
      <c r="L4" s="120"/>
      <c r="M4" s="122"/>
      <c r="N4" s="122"/>
      <c r="O4" s="122"/>
    </row>
    <row r="5" spans="1:15">
      <c r="A5" s="119"/>
      <c r="B5" s="120"/>
      <c r="C5" s="120"/>
      <c r="D5" s="120"/>
      <c r="E5" s="120"/>
      <c r="F5" s="120"/>
      <c r="G5" s="120" t="s">
        <v>20</v>
      </c>
      <c r="H5" s="120" t="s">
        <v>21</v>
      </c>
      <c r="I5" s="120" t="s">
        <v>27</v>
      </c>
      <c r="J5" s="120" t="s">
        <v>28</v>
      </c>
      <c r="K5" s="120" t="s">
        <v>57</v>
      </c>
      <c r="L5" s="120" t="s">
        <v>138</v>
      </c>
      <c r="M5" s="120" t="s">
        <v>225</v>
      </c>
      <c r="N5" s="120" t="s">
        <v>729</v>
      </c>
      <c r="O5" s="120" t="s">
        <v>730</v>
      </c>
    </row>
    <row r="6" spans="1:15" ht="19.5">
      <c r="A6" s="127"/>
      <c r="B6" s="128"/>
      <c r="C6" s="129"/>
      <c r="D6" s="129"/>
      <c r="E6" s="129"/>
      <c r="F6" s="130"/>
      <c r="G6" s="131"/>
      <c r="H6" s="131"/>
      <c r="I6" s="131"/>
      <c r="J6" s="131"/>
      <c r="K6" s="131"/>
      <c r="L6" s="131"/>
      <c r="M6" s="131"/>
      <c r="N6" s="131"/>
      <c r="O6" s="131"/>
    </row>
    <row r="7" spans="1:15">
      <c r="A7" s="132">
        <v>1</v>
      </c>
      <c r="B7" s="133"/>
      <c r="C7" s="118" t="s">
        <v>87</v>
      </c>
      <c r="F7" s="134"/>
      <c r="G7" s="131"/>
      <c r="H7" s="131" t="s">
        <v>31</v>
      </c>
      <c r="I7" s="131"/>
      <c r="J7" s="135"/>
      <c r="K7" s="131"/>
      <c r="L7" s="131"/>
      <c r="M7" s="131"/>
      <c r="N7" s="131"/>
      <c r="O7" s="131"/>
    </row>
    <row r="8" spans="1:15">
      <c r="A8" s="136"/>
      <c r="C8" s="118" t="s">
        <v>88</v>
      </c>
      <c r="F8" s="134"/>
      <c r="G8" s="137">
        <v>300</v>
      </c>
      <c r="H8" s="137">
        <v>300</v>
      </c>
      <c r="I8" s="137">
        <v>300</v>
      </c>
      <c r="J8" s="137">
        <v>300</v>
      </c>
      <c r="K8" s="137">
        <v>300</v>
      </c>
      <c r="L8" s="137">
        <v>300</v>
      </c>
      <c r="M8" s="137">
        <v>300</v>
      </c>
      <c r="N8" s="137">
        <v>300</v>
      </c>
      <c r="O8" s="137">
        <v>300</v>
      </c>
    </row>
    <row r="9" spans="1:15">
      <c r="A9" s="136"/>
      <c r="F9" s="134"/>
      <c r="G9" s="131"/>
      <c r="H9" s="131"/>
      <c r="I9" s="131"/>
      <c r="J9" s="131"/>
      <c r="K9" s="131"/>
      <c r="L9" s="131"/>
      <c r="M9" s="131"/>
      <c r="N9" s="131"/>
      <c r="O9" s="131"/>
    </row>
    <row r="10" spans="1:15" ht="15.5">
      <c r="A10" s="136"/>
      <c r="C10" s="118" t="s">
        <v>89</v>
      </c>
      <c r="F10" s="134"/>
      <c r="G10" s="139"/>
      <c r="H10" s="139"/>
      <c r="I10" s="139"/>
      <c r="J10" s="139"/>
      <c r="K10" s="139"/>
      <c r="L10" s="139"/>
      <c r="M10" s="139"/>
      <c r="N10" s="139"/>
      <c r="O10" s="139"/>
    </row>
    <row r="11" spans="1:15">
      <c r="A11" s="136"/>
      <c r="C11" s="118" t="s">
        <v>90</v>
      </c>
      <c r="F11" s="134"/>
      <c r="G11" s="131">
        <v>1</v>
      </c>
      <c r="H11" s="131">
        <f t="shared" ref="H11:K11" si="0">+G11</f>
        <v>1</v>
      </c>
      <c r="I11" s="131">
        <f t="shared" si="0"/>
        <v>1</v>
      </c>
      <c r="J11" s="131">
        <f t="shared" si="0"/>
        <v>1</v>
      </c>
      <c r="K11" s="131">
        <f t="shared" si="0"/>
        <v>1</v>
      </c>
      <c r="L11" s="131">
        <f>+J11</f>
        <v>1</v>
      </c>
      <c r="M11" s="131">
        <f>+K11</f>
        <v>1</v>
      </c>
      <c r="N11" s="131">
        <f t="shared" ref="N11:O11" si="1">+L11</f>
        <v>1</v>
      </c>
      <c r="O11" s="131">
        <f t="shared" si="1"/>
        <v>1</v>
      </c>
    </row>
    <row r="12" spans="1:15">
      <c r="A12" s="136"/>
      <c r="C12" s="118" t="s">
        <v>91</v>
      </c>
      <c r="F12" s="134"/>
      <c r="G12" s="138">
        <f>+G8*G11</f>
        <v>300</v>
      </c>
      <c r="H12" s="138">
        <f t="shared" ref="H12:M12" si="2">+H8*H11</f>
        <v>300</v>
      </c>
      <c r="I12" s="138">
        <f t="shared" si="2"/>
        <v>300</v>
      </c>
      <c r="J12" s="138">
        <f t="shared" si="2"/>
        <v>300</v>
      </c>
      <c r="K12" s="138">
        <f t="shared" si="2"/>
        <v>300</v>
      </c>
      <c r="L12" s="138">
        <f t="shared" si="2"/>
        <v>300</v>
      </c>
      <c r="M12" s="138">
        <f t="shared" si="2"/>
        <v>300</v>
      </c>
      <c r="N12" s="138">
        <f t="shared" ref="N12:O12" si="3">+N8*N11</f>
        <v>300</v>
      </c>
      <c r="O12" s="138">
        <f t="shared" si="3"/>
        <v>300</v>
      </c>
    </row>
    <row r="13" spans="1:15">
      <c r="A13" s="136"/>
      <c r="C13" s="118" t="s">
        <v>92</v>
      </c>
      <c r="F13" s="134"/>
      <c r="G13" s="140">
        <v>45</v>
      </c>
      <c r="H13" s="140">
        <v>180</v>
      </c>
      <c r="I13" s="140">
        <v>365</v>
      </c>
      <c r="J13" s="140">
        <v>365</v>
      </c>
      <c r="K13" s="140">
        <v>365</v>
      </c>
      <c r="L13" s="140">
        <v>365</v>
      </c>
      <c r="M13" s="140">
        <v>365</v>
      </c>
      <c r="N13" s="140">
        <v>365</v>
      </c>
      <c r="O13" s="140">
        <v>365</v>
      </c>
    </row>
    <row r="14" spans="1:15" ht="17.25" customHeight="1">
      <c r="A14" s="136"/>
      <c r="C14" s="600" t="s">
        <v>93</v>
      </c>
      <c r="D14" s="600"/>
      <c r="E14" s="600"/>
      <c r="F14" s="601"/>
      <c r="G14" s="142">
        <f t="shared" ref="G14:K14" si="4">+G13*G12*G11*8*0.8</f>
        <v>86400</v>
      </c>
      <c r="H14" s="142">
        <f t="shared" si="4"/>
        <v>345600</v>
      </c>
      <c r="I14" s="142">
        <f t="shared" si="4"/>
        <v>700800</v>
      </c>
      <c r="J14" s="142">
        <f t="shared" si="4"/>
        <v>700800</v>
      </c>
      <c r="K14" s="142">
        <f t="shared" si="4"/>
        <v>700800</v>
      </c>
      <c r="L14" s="142">
        <f>+L13*L12*L11*8*0.8</f>
        <v>700800</v>
      </c>
      <c r="M14" s="142">
        <f>+M13*M12*M11*8*0.8</f>
        <v>700800</v>
      </c>
      <c r="N14" s="142">
        <f t="shared" ref="N14:O14" si="5">+N13*N12*N11*8*0.8</f>
        <v>700800</v>
      </c>
      <c r="O14" s="142">
        <f t="shared" si="5"/>
        <v>700800</v>
      </c>
    </row>
    <row r="15" spans="1:15" ht="9.75" customHeight="1">
      <c r="A15" s="136"/>
      <c r="C15" s="600"/>
      <c r="D15" s="600"/>
      <c r="E15" s="600"/>
      <c r="F15" s="601"/>
      <c r="G15" s="141"/>
      <c r="H15" s="141"/>
      <c r="I15" s="141"/>
      <c r="J15" s="141"/>
      <c r="K15" s="141"/>
      <c r="L15" s="141"/>
      <c r="M15" s="141"/>
      <c r="N15" s="141"/>
      <c r="O15" s="141"/>
    </row>
    <row r="16" spans="1:15" ht="15.5">
      <c r="A16" s="136"/>
      <c r="C16" s="118" t="s">
        <v>94</v>
      </c>
      <c r="F16" s="143">
        <v>2E-3</v>
      </c>
      <c r="G16" s="144">
        <f t="shared" ref="G16:K16" si="6">+G14*$F16</f>
        <v>172.8</v>
      </c>
      <c r="H16" s="144">
        <f t="shared" si="6"/>
        <v>691.2</v>
      </c>
      <c r="I16" s="144">
        <f t="shared" si="6"/>
        <v>1401.6000000000001</v>
      </c>
      <c r="J16" s="144">
        <f t="shared" si="6"/>
        <v>1401.6000000000001</v>
      </c>
      <c r="K16" s="144">
        <f t="shared" si="6"/>
        <v>1401.6000000000001</v>
      </c>
      <c r="L16" s="144">
        <f>+L14*$F16</f>
        <v>1401.6000000000001</v>
      </c>
      <c r="M16" s="144">
        <f>+M14*$F16</f>
        <v>1401.6000000000001</v>
      </c>
      <c r="N16" s="144">
        <f t="shared" ref="N16:O16" si="7">+N14*$F16</f>
        <v>1401.6000000000001</v>
      </c>
      <c r="O16" s="144">
        <f t="shared" si="7"/>
        <v>1401.6000000000001</v>
      </c>
    </row>
    <row r="17" spans="1:15" ht="15.5">
      <c r="A17" s="136"/>
      <c r="C17" s="118" t="s">
        <v>95</v>
      </c>
      <c r="F17" s="143"/>
      <c r="G17" s="145">
        <f t="shared" ref="G17:K17" si="8">+G16+G14</f>
        <v>86572.800000000003</v>
      </c>
      <c r="H17" s="145">
        <f t="shared" si="8"/>
        <v>346291.20000000001</v>
      </c>
      <c r="I17" s="145">
        <f t="shared" si="8"/>
        <v>702201.6</v>
      </c>
      <c r="J17" s="145">
        <f t="shared" si="8"/>
        <v>702201.6</v>
      </c>
      <c r="K17" s="145">
        <f t="shared" si="8"/>
        <v>702201.6</v>
      </c>
      <c r="L17" s="145">
        <f>+L16+L14</f>
        <v>702201.6</v>
      </c>
      <c r="M17" s="145">
        <f>+M16+M14</f>
        <v>702201.6</v>
      </c>
      <c r="N17" s="145">
        <f t="shared" ref="N17:O17" si="9">+N16+N14</f>
        <v>702201.6</v>
      </c>
      <c r="O17" s="145">
        <f t="shared" si="9"/>
        <v>702201.6</v>
      </c>
    </row>
    <row r="18" spans="1:15">
      <c r="A18" s="136"/>
      <c r="C18" s="118" t="s">
        <v>100</v>
      </c>
      <c r="F18" s="134"/>
      <c r="G18" s="135">
        <v>8</v>
      </c>
      <c r="H18" s="135">
        <f t="shared" ref="H18:K18" si="10">G18</f>
        <v>8</v>
      </c>
      <c r="I18" s="135">
        <f t="shared" si="10"/>
        <v>8</v>
      </c>
      <c r="J18" s="135">
        <f t="shared" si="10"/>
        <v>8</v>
      </c>
      <c r="K18" s="135">
        <f t="shared" si="10"/>
        <v>8</v>
      </c>
      <c r="L18" s="135">
        <f>J18</f>
        <v>8</v>
      </c>
      <c r="M18" s="135">
        <f>K18</f>
        <v>8</v>
      </c>
      <c r="N18" s="135">
        <f t="shared" ref="N18:O18" si="11">L18</f>
        <v>8</v>
      </c>
      <c r="O18" s="135">
        <f t="shared" si="11"/>
        <v>8</v>
      </c>
    </row>
    <row r="19" spans="1:15">
      <c r="A19" s="146"/>
      <c r="B19" s="147"/>
      <c r="C19" s="147" t="s">
        <v>96</v>
      </c>
      <c r="D19" s="147"/>
      <c r="E19" s="147"/>
      <c r="F19" s="148"/>
      <c r="G19" s="149">
        <f t="shared" ref="G19:K19" si="12">+G17*G18/100000</f>
        <v>6.9258240000000004</v>
      </c>
      <c r="H19" s="149">
        <f t="shared" si="12"/>
        <v>27.703296000000002</v>
      </c>
      <c r="I19" s="149">
        <f t="shared" si="12"/>
        <v>56.176127999999999</v>
      </c>
      <c r="J19" s="149">
        <f t="shared" si="12"/>
        <v>56.176127999999999</v>
      </c>
      <c r="K19" s="149">
        <f t="shared" si="12"/>
        <v>56.176127999999999</v>
      </c>
      <c r="L19" s="149">
        <f>+L17*L18/100000</f>
        <v>56.176127999999999</v>
      </c>
      <c r="M19" s="149">
        <f>+M17*M18/100000</f>
        <v>56.176127999999999</v>
      </c>
      <c r="N19" s="149">
        <f t="shared" ref="N19:O19" si="13">+N17*N18/100000</f>
        <v>56.176127999999999</v>
      </c>
      <c r="O19" s="149">
        <f t="shared" si="13"/>
        <v>56.176127999999999</v>
      </c>
    </row>
    <row r="20" spans="1:15">
      <c r="A20" s="136"/>
      <c r="F20" s="134"/>
      <c r="G20" s="135"/>
      <c r="H20" s="135"/>
      <c r="I20" s="135"/>
      <c r="J20" s="135"/>
      <c r="K20" s="135"/>
      <c r="L20" s="135"/>
      <c r="M20" s="138"/>
      <c r="N20" s="138"/>
      <c r="O20" s="138"/>
    </row>
  </sheetData>
  <mergeCells count="3">
    <mergeCell ref="A1:K1"/>
    <mergeCell ref="A4:F4"/>
    <mergeCell ref="C14:F15"/>
  </mergeCells>
  <pageMargins left="0.7" right="0.7" top="0.75" bottom="0.75" header="0.3" footer="0.3"/>
  <pageSetup scale="71" orientation="landscape" r:id="rId1"/>
  <headerFooter>
    <oddHeader>&amp;C&amp;"Book Antiqua,Bold"&amp;13</oddHeader>
    <oddFooter>&amp;C&amp;"-,Bold"&amp;12Prepared by JNR Corporate Advisory Services Private Limited, Contact details: jnr4india@gmail.com, +918602267779, +918962611446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K134"/>
  <sheetViews>
    <sheetView showGridLines="0" view="pageBreakPreview" topLeftCell="A101" zoomScale="80" zoomScaleSheetLayoutView="80" workbookViewId="0">
      <selection activeCell="A137" sqref="A137"/>
    </sheetView>
  </sheetViews>
  <sheetFormatPr defaultRowHeight="14.5"/>
  <cols>
    <col min="1" max="1" width="26.81640625" bestFit="1" customWidth="1"/>
    <col min="2" max="2" width="18.54296875" bestFit="1" customWidth="1"/>
    <col min="3" max="3" width="15.81640625" bestFit="1" customWidth="1"/>
    <col min="4" max="4" width="15.81640625" customWidth="1"/>
    <col min="5" max="6" width="14.81640625" customWidth="1"/>
    <col min="7" max="7" width="11.54296875" customWidth="1"/>
    <col min="8" max="8" width="17.453125" bestFit="1" customWidth="1"/>
    <col min="9" max="9" width="17.453125" customWidth="1"/>
    <col min="10" max="10" width="15.81640625" bestFit="1" customWidth="1"/>
    <col min="11" max="11" width="9.453125" bestFit="1" customWidth="1"/>
    <col min="12" max="12" width="14.453125" bestFit="1" customWidth="1"/>
  </cols>
  <sheetData>
    <row r="1" spans="1:11" ht="20">
      <c r="A1" s="636" t="s">
        <v>32</v>
      </c>
      <c r="B1" s="636"/>
      <c r="C1" s="636"/>
      <c r="D1" s="636"/>
      <c r="E1" s="636"/>
      <c r="F1" s="636"/>
      <c r="G1" s="636"/>
      <c r="H1" s="636"/>
      <c r="I1" s="636"/>
      <c r="J1" s="636"/>
    </row>
    <row r="2" spans="1:11" ht="15.5">
      <c r="A2" s="50"/>
      <c r="B2" s="50"/>
      <c r="C2" s="50"/>
      <c r="D2" s="50"/>
      <c r="E2" s="19"/>
      <c r="F2" s="19"/>
      <c r="G2" s="19"/>
      <c r="H2" s="637" t="s">
        <v>33</v>
      </c>
      <c r="I2" s="637"/>
      <c r="J2" s="637"/>
    </row>
    <row r="3" spans="1:11" ht="34.5" customHeight="1">
      <c r="A3" s="85" t="s">
        <v>34</v>
      </c>
      <c r="B3" s="638" t="s">
        <v>51</v>
      </c>
      <c r="C3" s="284" t="s">
        <v>81</v>
      </c>
      <c r="D3" s="284" t="s">
        <v>215</v>
      </c>
      <c r="E3" s="640" t="s">
        <v>50</v>
      </c>
      <c r="F3" s="640" t="s">
        <v>216</v>
      </c>
      <c r="G3" s="85" t="s">
        <v>15</v>
      </c>
      <c r="H3" s="638" t="s">
        <v>35</v>
      </c>
      <c r="I3" s="638" t="s">
        <v>217</v>
      </c>
      <c r="J3" s="85" t="s">
        <v>218</v>
      </c>
      <c r="K3" s="606"/>
    </row>
    <row r="4" spans="1:11" ht="16" thickBot="1">
      <c r="A4" s="42"/>
      <c r="B4" s="639"/>
      <c r="C4" s="285"/>
      <c r="D4" s="285"/>
      <c r="E4" s="641"/>
      <c r="F4" s="641"/>
      <c r="G4" s="42"/>
      <c r="H4" s="639"/>
      <c r="I4" s="639"/>
      <c r="J4" s="42"/>
      <c r="K4" s="606"/>
    </row>
    <row r="5" spans="1:11" ht="19" thickBot="1">
      <c r="A5" s="633" t="s">
        <v>347</v>
      </c>
      <c r="B5" s="634"/>
      <c r="C5" s="634"/>
      <c r="D5" s="634"/>
      <c r="E5" s="634"/>
      <c r="F5" s="634"/>
      <c r="G5" s="634"/>
      <c r="H5" s="634"/>
      <c r="I5" s="634"/>
      <c r="J5" s="635"/>
    </row>
    <row r="6" spans="1:11" ht="15.5">
      <c r="A6" s="86"/>
      <c r="B6" s="43"/>
      <c r="C6" s="43"/>
      <c r="D6" s="43"/>
      <c r="E6" s="43"/>
      <c r="F6" s="43"/>
      <c r="G6" s="43"/>
      <c r="H6" s="43"/>
      <c r="I6" s="43"/>
      <c r="J6" s="43"/>
    </row>
    <row r="7" spans="1:11" ht="15.5">
      <c r="A7" s="86" t="s">
        <v>46</v>
      </c>
      <c r="B7" s="44">
        <v>0</v>
      </c>
      <c r="C7" s="44">
        <v>90.73</v>
      </c>
      <c r="D7" s="44">
        <v>0</v>
      </c>
      <c r="E7" s="44">
        <f>SUM(B7:C7)-D7</f>
        <v>90.73</v>
      </c>
      <c r="F7" s="44">
        <v>0</v>
      </c>
      <c r="G7" s="44">
        <v>0</v>
      </c>
      <c r="H7" s="44">
        <v>0</v>
      </c>
      <c r="I7" s="44">
        <f>+F7+H7</f>
        <v>0</v>
      </c>
      <c r="J7" s="44">
        <f>+E7-H7</f>
        <v>90.73</v>
      </c>
    </row>
    <row r="8" spans="1:11" ht="15.5">
      <c r="A8" s="86"/>
      <c r="B8" s="45"/>
      <c r="C8" s="45"/>
      <c r="D8" s="45"/>
      <c r="E8" s="45"/>
      <c r="F8" s="45"/>
      <c r="G8" s="46"/>
      <c r="H8" s="44"/>
      <c r="I8" s="44"/>
      <c r="J8" s="44"/>
    </row>
    <row r="9" spans="1:11" ht="15.5">
      <c r="A9" s="86" t="s">
        <v>47</v>
      </c>
      <c r="B9" s="44">
        <v>0</v>
      </c>
      <c r="C9" s="44">
        <f>69.1+5.24</f>
        <v>74.339999999999989</v>
      </c>
      <c r="D9" s="44">
        <v>0</v>
      </c>
      <c r="E9" s="44">
        <f>SUM(B9:C9)-D9</f>
        <v>74.339999999999989</v>
      </c>
      <c r="F9" s="44">
        <v>0</v>
      </c>
      <c r="G9" s="98">
        <v>3.1666659999999999E-2</v>
      </c>
      <c r="H9" s="44">
        <v>0</v>
      </c>
      <c r="I9" s="44">
        <f>+F9+H9</f>
        <v>0</v>
      </c>
      <c r="J9" s="44">
        <f>+E9-I9</f>
        <v>74.339999999999989</v>
      </c>
    </row>
    <row r="10" spans="1:11" ht="15.5">
      <c r="A10" s="86"/>
      <c r="B10" s="45"/>
      <c r="C10" s="45"/>
      <c r="D10" s="45"/>
      <c r="E10" s="45"/>
      <c r="F10" s="45"/>
      <c r="G10" s="46"/>
      <c r="H10" s="44"/>
      <c r="I10" s="44"/>
      <c r="J10" s="44"/>
    </row>
    <row r="11" spans="1:11" ht="15.5">
      <c r="A11" s="86" t="s">
        <v>110</v>
      </c>
      <c r="B11" s="44">
        <v>0</v>
      </c>
      <c r="C11" s="44">
        <v>0</v>
      </c>
      <c r="D11" s="44">
        <v>0</v>
      </c>
      <c r="E11" s="44">
        <f t="shared" ref="E11:E15" si="0">SUM(B11:C11)-D11</f>
        <v>0</v>
      </c>
      <c r="F11" s="44">
        <v>0</v>
      </c>
      <c r="G11" s="98">
        <v>9.5000000000000001E-2</v>
      </c>
      <c r="H11" s="44">
        <v>0</v>
      </c>
      <c r="I11" s="44">
        <f>+F11+H11</f>
        <v>0</v>
      </c>
      <c r="J11" s="44">
        <f>+E11-I11</f>
        <v>0</v>
      </c>
    </row>
    <row r="12" spans="1:11" ht="15.5">
      <c r="A12" s="86"/>
      <c r="B12" s="47"/>
      <c r="C12" s="47"/>
      <c r="D12" s="47"/>
      <c r="E12" s="44"/>
      <c r="F12" s="47"/>
      <c r="G12" s="48"/>
      <c r="H12" s="44"/>
      <c r="I12" s="44"/>
      <c r="J12" s="44"/>
    </row>
    <row r="13" spans="1:11" ht="15.5">
      <c r="A13" s="87" t="s">
        <v>37</v>
      </c>
      <c r="B13" s="44">
        <v>0</v>
      </c>
      <c r="C13" s="44">
        <v>0</v>
      </c>
      <c r="D13" s="44">
        <v>0</v>
      </c>
      <c r="E13" s="44">
        <f t="shared" si="0"/>
        <v>0</v>
      </c>
      <c r="F13" s="44">
        <v>0</v>
      </c>
      <c r="G13" s="99">
        <v>0.1</v>
      </c>
      <c r="H13" s="44">
        <v>0</v>
      </c>
      <c r="I13" s="44">
        <f>+F13+H13</f>
        <v>0</v>
      </c>
      <c r="J13" s="44">
        <f>+E13-I13</f>
        <v>0</v>
      </c>
    </row>
    <row r="14" spans="1:11" ht="15.5">
      <c r="A14" s="86"/>
      <c r="B14" s="44"/>
      <c r="C14" s="44"/>
      <c r="D14" s="44"/>
      <c r="E14" s="44"/>
      <c r="F14" s="44"/>
      <c r="G14" s="44"/>
      <c r="H14" s="44"/>
      <c r="I14" s="44"/>
      <c r="J14" s="44"/>
    </row>
    <row r="15" spans="1:11" ht="15.5">
      <c r="A15" s="86" t="s">
        <v>349</v>
      </c>
      <c r="B15" s="44">
        <v>0</v>
      </c>
      <c r="C15" s="44">
        <v>0</v>
      </c>
      <c r="D15" s="44">
        <v>0</v>
      </c>
      <c r="E15" s="44">
        <f t="shared" si="0"/>
        <v>0</v>
      </c>
      <c r="F15" s="44">
        <v>0</v>
      </c>
      <c r="G15" s="99">
        <v>0.25</v>
      </c>
      <c r="H15" s="44">
        <f>+E15*G15</f>
        <v>0</v>
      </c>
      <c r="I15" s="44">
        <f>+F15+H15</f>
        <v>0</v>
      </c>
      <c r="J15" s="44">
        <f>+E15-I15</f>
        <v>0</v>
      </c>
    </row>
    <row r="16" spans="1:11" ht="15.5">
      <c r="A16" s="86"/>
      <c r="B16" s="44"/>
      <c r="C16" s="44"/>
      <c r="D16" s="44"/>
      <c r="E16" s="44"/>
      <c r="F16" s="44"/>
      <c r="G16" s="44"/>
      <c r="H16" s="44"/>
      <c r="I16" s="44"/>
      <c r="J16" s="44"/>
    </row>
    <row r="17" spans="1:10" ht="16" thickBot="1">
      <c r="A17" s="88" t="s">
        <v>30</v>
      </c>
      <c r="B17" s="49">
        <f>+SUM(B7:B15)</f>
        <v>0</v>
      </c>
      <c r="C17" s="49">
        <f t="shared" ref="C17:J17" si="1">+SUM(C7:C15)</f>
        <v>165.07</v>
      </c>
      <c r="D17" s="49">
        <f t="shared" si="1"/>
        <v>0</v>
      </c>
      <c r="E17" s="49">
        <f t="shared" si="1"/>
        <v>165.07</v>
      </c>
      <c r="F17" s="49">
        <f t="shared" si="1"/>
        <v>0</v>
      </c>
      <c r="G17" s="49">
        <f t="shared" si="1"/>
        <v>0.47666666000000002</v>
      </c>
      <c r="H17" s="49">
        <f t="shared" si="1"/>
        <v>0</v>
      </c>
      <c r="I17" s="49">
        <f t="shared" si="1"/>
        <v>0</v>
      </c>
      <c r="J17" s="49">
        <f t="shared" si="1"/>
        <v>165.07</v>
      </c>
    </row>
    <row r="18" spans="1:10" ht="19" thickBot="1">
      <c r="A18" s="633" t="s">
        <v>348</v>
      </c>
      <c r="B18" s="634"/>
      <c r="C18" s="634"/>
      <c r="D18" s="634"/>
      <c r="E18" s="634"/>
      <c r="F18" s="634"/>
      <c r="G18" s="634"/>
      <c r="H18" s="634"/>
      <c r="I18" s="634"/>
      <c r="J18" s="635"/>
    </row>
    <row r="19" spans="1:10" ht="15.5">
      <c r="A19" s="86"/>
      <c r="B19" s="43"/>
      <c r="C19" s="43"/>
      <c r="D19" s="43"/>
      <c r="E19" s="43"/>
      <c r="F19" s="43"/>
      <c r="G19" s="43"/>
      <c r="H19" s="43"/>
      <c r="I19" s="43"/>
      <c r="J19" s="43"/>
    </row>
    <row r="20" spans="1:10" ht="15.5">
      <c r="A20" s="86" t="s">
        <v>46</v>
      </c>
      <c r="B20" s="44">
        <f>+E7</f>
        <v>90.73</v>
      </c>
      <c r="C20" s="44">
        <v>0</v>
      </c>
      <c r="D20" s="44">
        <v>0</v>
      </c>
      <c r="E20" s="44">
        <f>SUM(B20:C20)-D20</f>
        <v>90.73</v>
      </c>
      <c r="F20" s="44">
        <f>+I7</f>
        <v>0</v>
      </c>
      <c r="G20" s="44">
        <v>0</v>
      </c>
      <c r="H20" s="44">
        <v>0</v>
      </c>
      <c r="I20" s="44">
        <f>+F20+H20</f>
        <v>0</v>
      </c>
      <c r="J20" s="44">
        <f>+E20-H20</f>
        <v>90.73</v>
      </c>
    </row>
    <row r="21" spans="1:10" ht="15.5">
      <c r="A21" s="86"/>
      <c r="B21" s="45"/>
      <c r="C21" s="45"/>
      <c r="D21" s="45"/>
      <c r="E21" s="45"/>
      <c r="F21" s="45"/>
      <c r="G21" s="46"/>
      <c r="H21" s="44"/>
      <c r="I21" s="44"/>
      <c r="J21" s="44"/>
    </row>
    <row r="22" spans="1:10" ht="15.5">
      <c r="A22" s="86" t="s">
        <v>47</v>
      </c>
      <c r="B22" s="44">
        <f>+E9</f>
        <v>74.339999999999989</v>
      </c>
      <c r="C22" s="44">
        <f>158.23-74.34+7.02+141.6</f>
        <v>232.51</v>
      </c>
      <c r="D22" s="44">
        <v>0</v>
      </c>
      <c r="E22" s="44">
        <f>SUM(B22:C22)-D22</f>
        <v>306.84999999999997</v>
      </c>
      <c r="F22" s="44">
        <f>+I9</f>
        <v>0</v>
      </c>
      <c r="G22" s="98">
        <v>3.1666659999999999E-2</v>
      </c>
      <c r="H22" s="44">
        <f>2.09+0.48</f>
        <v>2.57</v>
      </c>
      <c r="I22" s="44">
        <f>+F22+H22</f>
        <v>2.57</v>
      </c>
      <c r="J22" s="44">
        <f>+E22-I22</f>
        <v>304.27999999999997</v>
      </c>
    </row>
    <row r="23" spans="1:10" ht="15.5">
      <c r="A23" s="86"/>
      <c r="B23" s="45"/>
      <c r="C23" s="45"/>
      <c r="D23" s="45"/>
      <c r="E23" s="45"/>
      <c r="F23" s="45"/>
      <c r="G23" s="46"/>
      <c r="H23" s="44"/>
      <c r="I23" s="44"/>
      <c r="J23" s="44"/>
    </row>
    <row r="24" spans="1:10" ht="15.5">
      <c r="A24" s="86" t="s">
        <v>36</v>
      </c>
      <c r="B24" s="44">
        <f>+E11</f>
        <v>0</v>
      </c>
      <c r="C24" s="44">
        <v>0</v>
      </c>
      <c r="D24" s="44">
        <v>0</v>
      </c>
      <c r="E24" s="44">
        <f t="shared" ref="E24:E28" si="2">SUM(B24:C24)-D24</f>
        <v>0</v>
      </c>
      <c r="F24" s="44">
        <f>+I11</f>
        <v>0</v>
      </c>
      <c r="G24" s="98">
        <v>9.5000000000000001E-2</v>
      </c>
      <c r="H24" s="44">
        <v>0</v>
      </c>
      <c r="I24" s="44">
        <f>+F24+H24</f>
        <v>0</v>
      </c>
      <c r="J24" s="44">
        <f>+E24-I24</f>
        <v>0</v>
      </c>
    </row>
    <row r="25" spans="1:10" ht="15.5">
      <c r="A25" s="86"/>
      <c r="B25" s="47"/>
      <c r="C25" s="47"/>
      <c r="D25" s="47"/>
      <c r="E25" s="44"/>
      <c r="F25" s="47"/>
      <c r="G25" s="48"/>
      <c r="H25" s="44"/>
      <c r="I25" s="44"/>
      <c r="J25" s="44"/>
    </row>
    <row r="26" spans="1:10" ht="15.5">
      <c r="A26" s="87" t="s">
        <v>37</v>
      </c>
      <c r="B26" s="44">
        <f>+E13</f>
        <v>0</v>
      </c>
      <c r="C26" s="44">
        <v>180.35</v>
      </c>
      <c r="D26" s="44">
        <v>0</v>
      </c>
      <c r="E26" s="44">
        <f t="shared" si="2"/>
        <v>180.35</v>
      </c>
      <c r="F26" s="44">
        <f>+I13</f>
        <v>0</v>
      </c>
      <c r="G26" s="99">
        <v>0.1</v>
      </c>
      <c r="H26" s="44">
        <v>2.78</v>
      </c>
      <c r="I26" s="44">
        <f>+F26+H26</f>
        <v>2.78</v>
      </c>
      <c r="J26" s="44">
        <f>+E26-I26</f>
        <v>177.57</v>
      </c>
    </row>
    <row r="27" spans="1:10" ht="15.5">
      <c r="A27" s="86"/>
      <c r="B27" s="44"/>
      <c r="C27" s="44"/>
      <c r="D27" s="44"/>
      <c r="E27" s="44"/>
      <c r="F27" s="44"/>
      <c r="G27" s="44"/>
      <c r="H27" s="44"/>
      <c r="I27" s="44"/>
      <c r="J27" s="44"/>
    </row>
    <row r="28" spans="1:10" ht="15.5">
      <c r="A28" s="86" t="s">
        <v>349</v>
      </c>
      <c r="B28" s="44">
        <f>+E15</f>
        <v>0</v>
      </c>
      <c r="C28" s="44">
        <v>6.2</v>
      </c>
      <c r="D28" s="44">
        <v>0</v>
      </c>
      <c r="E28" s="44">
        <f t="shared" si="2"/>
        <v>6.2</v>
      </c>
      <c r="F28" s="44">
        <f>+I15</f>
        <v>0</v>
      </c>
      <c r="G28" s="99">
        <v>0.15</v>
      </c>
      <c r="H28" s="44">
        <v>0</v>
      </c>
      <c r="I28" s="44">
        <f>+F28+H28</f>
        <v>0</v>
      </c>
      <c r="J28" s="44">
        <f>+E28-I28</f>
        <v>6.2</v>
      </c>
    </row>
    <row r="29" spans="1:10" ht="15.5">
      <c r="A29" s="86"/>
      <c r="B29" s="44"/>
      <c r="C29" s="44"/>
      <c r="D29" s="44"/>
      <c r="E29" s="44"/>
      <c r="F29" s="44"/>
      <c r="G29" s="44"/>
      <c r="H29" s="44"/>
      <c r="I29" s="44"/>
      <c r="J29" s="44"/>
    </row>
    <row r="30" spans="1:10" ht="16" thickBot="1">
      <c r="A30" s="88" t="s">
        <v>30</v>
      </c>
      <c r="B30" s="49">
        <f>+SUM(B20:B28)</f>
        <v>165.07</v>
      </c>
      <c r="C30" s="49">
        <f t="shared" ref="C30:J30" si="3">+SUM(C20:C28)</f>
        <v>419.06</v>
      </c>
      <c r="D30" s="49">
        <f t="shared" si="3"/>
        <v>0</v>
      </c>
      <c r="E30" s="49">
        <f t="shared" si="3"/>
        <v>584.13</v>
      </c>
      <c r="F30" s="49">
        <f t="shared" si="3"/>
        <v>0</v>
      </c>
      <c r="G30" s="49">
        <f t="shared" si="3"/>
        <v>0.37666665999999999</v>
      </c>
      <c r="H30" s="49">
        <f t="shared" si="3"/>
        <v>5.35</v>
      </c>
      <c r="I30" s="49">
        <f t="shared" si="3"/>
        <v>5.35</v>
      </c>
      <c r="J30" s="49">
        <f t="shared" si="3"/>
        <v>578.78</v>
      </c>
    </row>
    <row r="31" spans="1:10" ht="19" thickBot="1">
      <c r="A31" s="633" t="s">
        <v>41</v>
      </c>
      <c r="B31" s="634"/>
      <c r="C31" s="634"/>
      <c r="D31" s="634"/>
      <c r="E31" s="634"/>
      <c r="F31" s="634"/>
      <c r="G31" s="634"/>
      <c r="H31" s="634"/>
      <c r="I31" s="634"/>
      <c r="J31" s="635"/>
    </row>
    <row r="32" spans="1:10" ht="15.5">
      <c r="A32" s="86"/>
      <c r="B32" s="43"/>
      <c r="C32" s="43"/>
      <c r="D32" s="43"/>
      <c r="E32" s="43"/>
      <c r="F32" s="43"/>
      <c r="G32" s="43"/>
      <c r="H32" s="43"/>
      <c r="I32" s="43"/>
      <c r="J32" s="43"/>
    </row>
    <row r="33" spans="1:10" ht="15.5">
      <c r="A33" s="86" t="s">
        <v>46</v>
      </c>
      <c r="B33" s="44">
        <f>+E20</f>
        <v>90.73</v>
      </c>
      <c r="C33" s="44">
        <v>0</v>
      </c>
      <c r="D33" s="44">
        <v>0</v>
      </c>
      <c r="E33" s="44">
        <f>SUM(B33:C33)-D33</f>
        <v>90.73</v>
      </c>
      <c r="F33" s="44">
        <f>+I20</f>
        <v>0</v>
      </c>
      <c r="G33" s="44">
        <v>0</v>
      </c>
      <c r="H33" s="44">
        <v>0</v>
      </c>
      <c r="I33" s="44">
        <f>+F33+H33</f>
        <v>0</v>
      </c>
      <c r="J33" s="44">
        <f>+E33-H33</f>
        <v>90.73</v>
      </c>
    </row>
    <row r="34" spans="1:10" ht="15.5">
      <c r="A34" s="86"/>
      <c r="B34" s="45"/>
      <c r="C34" s="45"/>
      <c r="D34" s="45"/>
      <c r="E34" s="45"/>
      <c r="F34" s="45"/>
      <c r="G34" s="46"/>
      <c r="H34" s="44"/>
      <c r="I34" s="44"/>
      <c r="J34" s="44"/>
    </row>
    <row r="35" spans="1:10" ht="15.5">
      <c r="A35" s="86" t="s">
        <v>47</v>
      </c>
      <c r="B35" s="44">
        <f>+E22</f>
        <v>306.84999999999997</v>
      </c>
      <c r="C35" s="44">
        <v>150</v>
      </c>
      <c r="D35" s="44">
        <v>0</v>
      </c>
      <c r="E35" s="44">
        <f>SUM(B35:C35)-D35</f>
        <v>456.84999999999997</v>
      </c>
      <c r="F35" s="44">
        <f>+I22</f>
        <v>2.57</v>
      </c>
      <c r="G35" s="98">
        <v>3.1666659999999999E-2</v>
      </c>
      <c r="H35" s="44">
        <f>+E35*G35/4*3</f>
        <v>10.850185215749999</v>
      </c>
      <c r="I35" s="44">
        <f>+F35+H35</f>
        <v>13.420185215749999</v>
      </c>
      <c r="J35" s="44">
        <f>+E35-I35</f>
        <v>443.42981478424997</v>
      </c>
    </row>
    <row r="36" spans="1:10" ht="15.5">
      <c r="A36" s="86"/>
      <c r="B36" s="45"/>
      <c r="C36" s="45"/>
      <c r="D36" s="45"/>
      <c r="E36" s="45"/>
      <c r="F36" s="45"/>
      <c r="G36" s="46"/>
      <c r="H36" s="44"/>
      <c r="I36" s="44"/>
      <c r="J36" s="44"/>
    </row>
    <row r="37" spans="1:10" ht="15.5">
      <c r="A37" s="86" t="s">
        <v>36</v>
      </c>
      <c r="B37" s="44">
        <f>+E24</f>
        <v>0</v>
      </c>
      <c r="C37" s="44">
        <v>0</v>
      </c>
      <c r="D37" s="44">
        <v>0</v>
      </c>
      <c r="E37" s="44">
        <f t="shared" ref="E37:E41" si="4">SUM(B37:C37)-D37</f>
        <v>0</v>
      </c>
      <c r="F37" s="44">
        <f>+I24</f>
        <v>0</v>
      </c>
      <c r="G37" s="98">
        <v>9.5000000000000001E-2</v>
      </c>
      <c r="H37" s="44">
        <f>+E37*G37</f>
        <v>0</v>
      </c>
      <c r="I37" s="44">
        <f>+F37+H37</f>
        <v>0</v>
      </c>
      <c r="J37" s="44">
        <f>+E37-I37</f>
        <v>0</v>
      </c>
    </row>
    <row r="38" spans="1:10" ht="15.5">
      <c r="A38" s="86"/>
      <c r="B38" s="47"/>
      <c r="C38" s="47"/>
      <c r="D38" s="47"/>
      <c r="E38" s="44"/>
      <c r="F38" s="47"/>
      <c r="G38" s="48"/>
      <c r="H38" s="44"/>
      <c r="I38" s="44"/>
      <c r="J38" s="44"/>
    </row>
    <row r="39" spans="1:10" ht="15.5">
      <c r="A39" s="87" t="s">
        <v>37</v>
      </c>
      <c r="B39" s="44">
        <f>+E26</f>
        <v>180.35</v>
      </c>
      <c r="C39" s="44">
        <f>70</f>
        <v>70</v>
      </c>
      <c r="D39" s="44">
        <v>0</v>
      </c>
      <c r="E39" s="44">
        <f t="shared" si="4"/>
        <v>250.35</v>
      </c>
      <c r="F39" s="44">
        <f>+I26</f>
        <v>2.78</v>
      </c>
      <c r="G39" s="99">
        <v>0.1</v>
      </c>
      <c r="H39" s="44">
        <f>+E39*G39/4*3</f>
        <v>18.776250000000001</v>
      </c>
      <c r="I39" s="44">
        <f>+F39+H39</f>
        <v>21.556250000000002</v>
      </c>
      <c r="J39" s="44">
        <f>+E39-I39</f>
        <v>228.79374999999999</v>
      </c>
    </row>
    <row r="40" spans="1:10" ht="15.5">
      <c r="A40" s="86"/>
      <c r="B40" s="44"/>
      <c r="C40" s="44"/>
      <c r="D40" s="44"/>
      <c r="E40" s="44"/>
      <c r="F40" s="44"/>
      <c r="G40" s="44"/>
      <c r="H40" s="44"/>
      <c r="I40" s="44"/>
      <c r="J40" s="44"/>
    </row>
    <row r="41" spans="1:10" ht="15.5">
      <c r="A41" s="86" t="s">
        <v>219</v>
      </c>
      <c r="B41" s="44">
        <f>+E28</f>
        <v>6.2</v>
      </c>
      <c r="C41" s="44">
        <v>0</v>
      </c>
      <c r="D41" s="44">
        <v>0</v>
      </c>
      <c r="E41" s="44">
        <f t="shared" si="4"/>
        <v>6.2</v>
      </c>
      <c r="F41" s="44">
        <f>+I28</f>
        <v>0</v>
      </c>
      <c r="G41" s="99">
        <v>0.15</v>
      </c>
      <c r="H41" s="44">
        <f>+E41*G41/4*3</f>
        <v>0.69750000000000001</v>
      </c>
      <c r="I41" s="44">
        <f>+F41+H41</f>
        <v>0.69750000000000001</v>
      </c>
      <c r="J41" s="44">
        <f>+E41-I41</f>
        <v>5.5025000000000004</v>
      </c>
    </row>
    <row r="42" spans="1:10" ht="15.5">
      <c r="A42" s="86"/>
      <c r="B42" s="44"/>
      <c r="C42" s="44"/>
      <c r="D42" s="44"/>
      <c r="E42" s="44"/>
      <c r="F42" s="44"/>
      <c r="G42" s="44"/>
      <c r="H42" s="44"/>
      <c r="I42" s="44"/>
      <c r="J42" s="44"/>
    </row>
    <row r="43" spans="1:10" ht="16" thickBot="1">
      <c r="A43" s="88" t="s">
        <v>30</v>
      </c>
      <c r="B43" s="49">
        <f>+SUM(B33:B41)</f>
        <v>584.13</v>
      </c>
      <c r="C43" s="49">
        <f t="shared" ref="C43:J43" si="5">+SUM(C33:C41)</f>
        <v>220</v>
      </c>
      <c r="D43" s="49">
        <f t="shared" si="5"/>
        <v>0</v>
      </c>
      <c r="E43" s="49">
        <f t="shared" si="5"/>
        <v>804.13</v>
      </c>
      <c r="F43" s="49">
        <f t="shared" si="5"/>
        <v>5.35</v>
      </c>
      <c r="G43" s="49">
        <f t="shared" si="5"/>
        <v>0.37666665999999999</v>
      </c>
      <c r="H43" s="49">
        <f t="shared" si="5"/>
        <v>30.323935215750002</v>
      </c>
      <c r="I43" s="49">
        <f t="shared" si="5"/>
        <v>35.673935215749999</v>
      </c>
      <c r="J43" s="49">
        <f t="shared" si="5"/>
        <v>768.45606478424997</v>
      </c>
    </row>
    <row r="44" spans="1:10" ht="19" thickBot="1">
      <c r="A44" s="633" t="s">
        <v>42</v>
      </c>
      <c r="B44" s="634"/>
      <c r="C44" s="634"/>
      <c r="D44" s="634"/>
      <c r="E44" s="634"/>
      <c r="F44" s="634"/>
      <c r="G44" s="634"/>
      <c r="H44" s="634"/>
      <c r="I44" s="634"/>
      <c r="J44" s="635"/>
    </row>
    <row r="45" spans="1:10" ht="15.5">
      <c r="A45" s="86"/>
      <c r="B45" s="43"/>
      <c r="C45" s="43"/>
      <c r="D45" s="43"/>
      <c r="E45" s="43"/>
      <c r="F45" s="43"/>
      <c r="G45" s="43"/>
      <c r="H45" s="43"/>
      <c r="I45" s="43"/>
      <c r="J45" s="43"/>
    </row>
    <row r="46" spans="1:10" ht="15.5">
      <c r="A46" s="86" t="s">
        <v>46</v>
      </c>
      <c r="B46" s="44">
        <f>+E33</f>
        <v>90.73</v>
      </c>
      <c r="C46" s="44">
        <v>0</v>
      </c>
      <c r="D46" s="44">
        <v>0</v>
      </c>
      <c r="E46" s="44">
        <f>SUM(B46:C46)-D46</f>
        <v>90.73</v>
      </c>
      <c r="F46" s="44">
        <f>+I33</f>
        <v>0</v>
      </c>
      <c r="G46" s="44">
        <v>0</v>
      </c>
      <c r="H46" s="44">
        <v>0</v>
      </c>
      <c r="I46" s="44">
        <f>+F46+H46</f>
        <v>0</v>
      </c>
      <c r="J46" s="44">
        <f>+E46-H46</f>
        <v>90.73</v>
      </c>
    </row>
    <row r="47" spans="1:10" ht="15.5">
      <c r="A47" s="86"/>
      <c r="B47" s="45"/>
      <c r="C47" s="45"/>
      <c r="D47" s="45"/>
      <c r="E47" s="45"/>
      <c r="F47" s="45"/>
      <c r="G47" s="46"/>
      <c r="H47" s="44"/>
      <c r="I47" s="44"/>
      <c r="J47" s="44"/>
    </row>
    <row r="48" spans="1:10" ht="15.5">
      <c r="A48" s="86" t="s">
        <v>47</v>
      </c>
      <c r="B48" s="44">
        <f>+E35</f>
        <v>456.84999999999997</v>
      </c>
      <c r="C48" s="44">
        <v>0</v>
      </c>
      <c r="D48" s="44">
        <v>0</v>
      </c>
      <c r="E48" s="44">
        <f>SUM(B48:C48)-D48</f>
        <v>456.84999999999997</v>
      </c>
      <c r="F48" s="44">
        <f>+I35</f>
        <v>13.420185215749999</v>
      </c>
      <c r="G48" s="98">
        <v>3.1666659999999999E-2</v>
      </c>
      <c r="H48" s="44">
        <f>+E48*G48</f>
        <v>14.466913620999998</v>
      </c>
      <c r="I48" s="44">
        <f>+F48+H48</f>
        <v>27.887098836749999</v>
      </c>
      <c r="J48" s="44">
        <f>+E48-I48</f>
        <v>428.96290116324997</v>
      </c>
    </row>
    <row r="49" spans="1:10" ht="15.5">
      <c r="A49" s="86"/>
      <c r="B49" s="45"/>
      <c r="C49" s="45"/>
      <c r="D49" s="45"/>
      <c r="E49" s="45"/>
      <c r="F49" s="45"/>
      <c r="G49" s="46"/>
      <c r="H49" s="44"/>
      <c r="I49" s="44"/>
      <c r="J49" s="44"/>
    </row>
    <row r="50" spans="1:10" ht="15.5">
      <c r="A50" s="86" t="s">
        <v>36</v>
      </c>
      <c r="B50" s="44">
        <f>+E37</f>
        <v>0</v>
      </c>
      <c r="C50" s="44">
        <v>0</v>
      </c>
      <c r="D50" s="44">
        <v>0</v>
      </c>
      <c r="E50" s="44">
        <f t="shared" ref="E50:E54" si="6">SUM(B50:C50)-D50</f>
        <v>0</v>
      </c>
      <c r="F50" s="44">
        <f>+I37</f>
        <v>0</v>
      </c>
      <c r="G50" s="98">
        <v>9.5000000000000001E-2</v>
      </c>
      <c r="H50" s="44">
        <f>+E50*G50</f>
        <v>0</v>
      </c>
      <c r="I50" s="44">
        <f>+F50+H50</f>
        <v>0</v>
      </c>
      <c r="J50" s="44">
        <f>+E50-I50</f>
        <v>0</v>
      </c>
    </row>
    <row r="51" spans="1:10" ht="15.5">
      <c r="A51" s="86"/>
      <c r="B51" s="47"/>
      <c r="C51" s="47"/>
      <c r="D51" s="47"/>
      <c r="E51" s="44"/>
      <c r="F51" s="47"/>
      <c r="G51" s="48"/>
      <c r="H51" s="44"/>
      <c r="I51" s="44"/>
      <c r="J51" s="44"/>
    </row>
    <row r="52" spans="1:10" ht="15.5">
      <c r="A52" s="87" t="s">
        <v>37</v>
      </c>
      <c r="B52" s="44">
        <f>+E39</f>
        <v>250.35</v>
      </c>
      <c r="C52" s="44">
        <v>0</v>
      </c>
      <c r="D52" s="44">
        <v>0</v>
      </c>
      <c r="E52" s="44">
        <f t="shared" si="6"/>
        <v>250.35</v>
      </c>
      <c r="F52" s="44">
        <f>+I39</f>
        <v>21.556250000000002</v>
      </c>
      <c r="G52" s="99">
        <v>0.1</v>
      </c>
      <c r="H52" s="44">
        <f>+E52*G52</f>
        <v>25.035</v>
      </c>
      <c r="I52" s="44">
        <f>+F52+H52</f>
        <v>46.591250000000002</v>
      </c>
      <c r="J52" s="44">
        <f>+E52-I52</f>
        <v>203.75874999999999</v>
      </c>
    </row>
    <row r="53" spans="1:10" ht="15.5">
      <c r="A53" s="86"/>
      <c r="B53" s="44"/>
      <c r="C53" s="44"/>
      <c r="D53" s="44"/>
      <c r="E53" s="44"/>
      <c r="F53" s="44"/>
      <c r="G53" s="44"/>
      <c r="H53" s="44"/>
      <c r="I53" s="44"/>
      <c r="J53" s="44"/>
    </row>
    <row r="54" spans="1:10" ht="15.5">
      <c r="A54" s="86" t="s">
        <v>219</v>
      </c>
      <c r="B54" s="44">
        <f>+E41</f>
        <v>6.2</v>
      </c>
      <c r="C54" s="44">
        <v>0</v>
      </c>
      <c r="D54" s="44">
        <v>0</v>
      </c>
      <c r="E54" s="44">
        <f t="shared" si="6"/>
        <v>6.2</v>
      </c>
      <c r="F54" s="44">
        <f>+I41</f>
        <v>0.69750000000000001</v>
      </c>
      <c r="G54" s="99">
        <v>0.15</v>
      </c>
      <c r="H54" s="44">
        <f>+E54*G54</f>
        <v>0.92999999999999994</v>
      </c>
      <c r="I54" s="44">
        <f>+F54+H54</f>
        <v>1.6274999999999999</v>
      </c>
      <c r="J54" s="44">
        <f>+E54-I54</f>
        <v>4.5724999999999998</v>
      </c>
    </row>
    <row r="55" spans="1:10" ht="15.5">
      <c r="A55" s="86"/>
      <c r="B55" s="44"/>
      <c r="C55" s="44"/>
      <c r="D55" s="44"/>
      <c r="E55" s="44"/>
      <c r="F55" s="44"/>
      <c r="G55" s="44"/>
      <c r="H55" s="44"/>
      <c r="I55" s="44"/>
      <c r="J55" s="44"/>
    </row>
    <row r="56" spans="1:10" ht="16" thickBot="1">
      <c r="A56" s="88" t="s">
        <v>30</v>
      </c>
      <c r="B56" s="49">
        <f>+SUM(B46:B54)</f>
        <v>804.13</v>
      </c>
      <c r="C56" s="49">
        <f t="shared" ref="C56:J56" si="7">+SUM(C46:C54)</f>
        <v>0</v>
      </c>
      <c r="D56" s="49">
        <f t="shared" si="7"/>
        <v>0</v>
      </c>
      <c r="E56" s="49">
        <f t="shared" si="7"/>
        <v>804.13</v>
      </c>
      <c r="F56" s="49">
        <f t="shared" si="7"/>
        <v>35.673935215749999</v>
      </c>
      <c r="G56" s="49">
        <f t="shared" si="7"/>
        <v>0.37666665999999999</v>
      </c>
      <c r="H56" s="49">
        <f t="shared" si="7"/>
        <v>40.431913621</v>
      </c>
      <c r="I56" s="49">
        <f t="shared" si="7"/>
        <v>76.105848836749999</v>
      </c>
      <c r="J56" s="49">
        <f t="shared" si="7"/>
        <v>728.02415116324994</v>
      </c>
    </row>
    <row r="57" spans="1:10" ht="19" thickBot="1">
      <c r="A57" s="633" t="s">
        <v>43</v>
      </c>
      <c r="B57" s="634"/>
      <c r="C57" s="634"/>
      <c r="D57" s="634"/>
      <c r="E57" s="634"/>
      <c r="F57" s="634"/>
      <c r="G57" s="634"/>
      <c r="H57" s="634"/>
      <c r="I57" s="634"/>
      <c r="J57" s="635"/>
    </row>
    <row r="58" spans="1:10" ht="15.5">
      <c r="A58" s="86"/>
      <c r="B58" s="43"/>
      <c r="C58" s="43"/>
      <c r="D58" s="43"/>
      <c r="E58" s="43"/>
      <c r="F58" s="43"/>
      <c r="G58" s="43"/>
      <c r="H58" s="43"/>
      <c r="I58" s="43"/>
      <c r="J58" s="43"/>
    </row>
    <row r="59" spans="1:10" ht="15.5">
      <c r="A59" s="86" t="s">
        <v>46</v>
      </c>
      <c r="B59" s="44">
        <f>+E46</f>
        <v>90.73</v>
      </c>
      <c r="C59" s="44">
        <v>0</v>
      </c>
      <c r="D59" s="44">
        <v>0</v>
      </c>
      <c r="E59" s="44">
        <f>SUM(B59:C59)-D59</f>
        <v>90.73</v>
      </c>
      <c r="F59" s="44">
        <f>+I46</f>
        <v>0</v>
      </c>
      <c r="G59" s="44">
        <v>0</v>
      </c>
      <c r="H59" s="44">
        <v>0</v>
      </c>
      <c r="I59" s="44">
        <f>+F59+H59</f>
        <v>0</v>
      </c>
      <c r="J59" s="44">
        <f>+E59-H59</f>
        <v>90.73</v>
      </c>
    </row>
    <row r="60" spans="1:10" ht="15.5">
      <c r="A60" s="86"/>
      <c r="B60" s="45"/>
      <c r="C60" s="45"/>
      <c r="D60" s="45"/>
      <c r="E60" s="45"/>
      <c r="F60" s="45"/>
      <c r="G60" s="46"/>
      <c r="H60" s="44"/>
      <c r="I60" s="44"/>
      <c r="J60" s="44"/>
    </row>
    <row r="61" spans="1:10" ht="15.5">
      <c r="A61" s="86" t="s">
        <v>47</v>
      </c>
      <c r="B61" s="44">
        <f>+E48</f>
        <v>456.84999999999997</v>
      </c>
      <c r="C61" s="44">
        <v>0</v>
      </c>
      <c r="D61" s="44">
        <v>0</v>
      </c>
      <c r="E61" s="44">
        <f>SUM(B61:C61)-D61</f>
        <v>456.84999999999997</v>
      </c>
      <c r="F61" s="44">
        <f>+I48</f>
        <v>27.887098836749999</v>
      </c>
      <c r="G61" s="98">
        <v>3.1666659999999999E-2</v>
      </c>
      <c r="H61" s="44">
        <f>+E61*G61</f>
        <v>14.466913620999998</v>
      </c>
      <c r="I61" s="44">
        <f>+F61+H61</f>
        <v>42.354012457749995</v>
      </c>
      <c r="J61" s="44">
        <f>+E61-I61</f>
        <v>414.49598754224996</v>
      </c>
    </row>
    <row r="62" spans="1:10" ht="15.5">
      <c r="A62" s="86"/>
      <c r="B62" s="45"/>
      <c r="C62" s="45"/>
      <c r="D62" s="45"/>
      <c r="E62" s="45"/>
      <c r="F62" s="45"/>
      <c r="G62" s="46"/>
      <c r="H62" s="44"/>
      <c r="I62" s="44"/>
      <c r="J62" s="44"/>
    </row>
    <row r="63" spans="1:10" ht="15.5">
      <c r="A63" s="86" t="s">
        <v>36</v>
      </c>
      <c r="B63" s="44">
        <f>+E50</f>
        <v>0</v>
      </c>
      <c r="C63" s="44">
        <v>0</v>
      </c>
      <c r="D63" s="44">
        <v>0</v>
      </c>
      <c r="E63" s="44">
        <f t="shared" ref="E63:E67" si="8">SUM(B63:C63)-D63</f>
        <v>0</v>
      </c>
      <c r="F63" s="44">
        <f>+I50</f>
        <v>0</v>
      </c>
      <c r="G63" s="98">
        <v>9.5000000000000001E-2</v>
      </c>
      <c r="H63" s="44">
        <f>+E63*G63</f>
        <v>0</v>
      </c>
      <c r="I63" s="44">
        <f>+F63+H63</f>
        <v>0</v>
      </c>
      <c r="J63" s="44">
        <f>+E63-I63</f>
        <v>0</v>
      </c>
    </row>
    <row r="64" spans="1:10" ht="15.5">
      <c r="A64" s="86"/>
      <c r="B64" s="47"/>
      <c r="C64" s="47"/>
      <c r="D64" s="47"/>
      <c r="E64" s="44"/>
      <c r="F64" s="47"/>
      <c r="G64" s="48"/>
      <c r="H64" s="44"/>
      <c r="I64" s="44"/>
      <c r="J64" s="44"/>
    </row>
    <row r="65" spans="1:10" ht="15.5">
      <c r="A65" s="87" t="s">
        <v>37</v>
      </c>
      <c r="B65" s="44">
        <f>+E52</f>
        <v>250.35</v>
      </c>
      <c r="C65" s="44">
        <v>0</v>
      </c>
      <c r="D65" s="44">
        <v>0</v>
      </c>
      <c r="E65" s="44">
        <f t="shared" si="8"/>
        <v>250.35</v>
      </c>
      <c r="F65" s="44">
        <f>+I52</f>
        <v>46.591250000000002</v>
      </c>
      <c r="G65" s="99">
        <v>0.1</v>
      </c>
      <c r="H65" s="44">
        <f>+E65*G65</f>
        <v>25.035</v>
      </c>
      <c r="I65" s="44">
        <f>+F65+H65</f>
        <v>71.626249999999999</v>
      </c>
      <c r="J65" s="44">
        <f>+E65-I65</f>
        <v>178.72375</v>
      </c>
    </row>
    <row r="66" spans="1:10" ht="15.5">
      <c r="A66" s="86"/>
      <c r="B66" s="44"/>
      <c r="C66" s="44"/>
      <c r="D66" s="44"/>
      <c r="E66" s="44"/>
      <c r="F66" s="44"/>
      <c r="G66" s="44"/>
      <c r="H66" s="44"/>
      <c r="I66" s="44"/>
      <c r="J66" s="44"/>
    </row>
    <row r="67" spans="1:10" ht="15.5">
      <c r="A67" s="86" t="s">
        <v>219</v>
      </c>
      <c r="B67" s="44">
        <f>+E54</f>
        <v>6.2</v>
      </c>
      <c r="C67" s="44">
        <v>0</v>
      </c>
      <c r="D67" s="44">
        <v>0</v>
      </c>
      <c r="E67" s="44">
        <f t="shared" si="8"/>
        <v>6.2</v>
      </c>
      <c r="F67" s="44">
        <f>+I54</f>
        <v>1.6274999999999999</v>
      </c>
      <c r="G67" s="99">
        <v>0.15</v>
      </c>
      <c r="H67" s="44">
        <f>+E67*G67</f>
        <v>0.92999999999999994</v>
      </c>
      <c r="I67" s="44">
        <f>+F67+H67</f>
        <v>2.5575000000000001</v>
      </c>
      <c r="J67" s="44">
        <f>+E67-I67</f>
        <v>3.6425000000000001</v>
      </c>
    </row>
    <row r="68" spans="1:10" ht="15.5">
      <c r="A68" s="86"/>
      <c r="B68" s="44"/>
      <c r="C68" s="44"/>
      <c r="D68" s="44"/>
      <c r="E68" s="44"/>
      <c r="F68" s="44"/>
      <c r="G68" s="44"/>
      <c r="H68" s="44"/>
      <c r="I68" s="44"/>
      <c r="J68" s="44"/>
    </row>
    <row r="69" spans="1:10" ht="16" thickBot="1">
      <c r="A69" s="88" t="s">
        <v>30</v>
      </c>
      <c r="B69" s="49">
        <f>+SUM(B59:B67)</f>
        <v>804.13</v>
      </c>
      <c r="C69" s="49">
        <f t="shared" ref="C69:J69" si="9">+SUM(C59:C67)</f>
        <v>0</v>
      </c>
      <c r="D69" s="49">
        <f t="shared" si="9"/>
        <v>0</v>
      </c>
      <c r="E69" s="49">
        <f t="shared" si="9"/>
        <v>804.13</v>
      </c>
      <c r="F69" s="49">
        <f t="shared" si="9"/>
        <v>76.105848836749999</v>
      </c>
      <c r="G69" s="49">
        <f t="shared" si="9"/>
        <v>0.37666665999999999</v>
      </c>
      <c r="H69" s="49">
        <f t="shared" si="9"/>
        <v>40.431913621</v>
      </c>
      <c r="I69" s="49">
        <f t="shared" si="9"/>
        <v>116.53776245775001</v>
      </c>
      <c r="J69" s="49">
        <f t="shared" si="9"/>
        <v>687.59223754225002</v>
      </c>
    </row>
    <row r="70" spans="1:10" ht="19" thickBot="1">
      <c r="A70" s="633" t="s">
        <v>60</v>
      </c>
      <c r="B70" s="634"/>
      <c r="C70" s="634"/>
      <c r="D70" s="634"/>
      <c r="E70" s="634"/>
      <c r="F70" s="634"/>
      <c r="G70" s="634"/>
      <c r="H70" s="634"/>
      <c r="I70" s="634"/>
      <c r="J70" s="635"/>
    </row>
    <row r="71" spans="1:10" ht="15.5">
      <c r="A71" s="86"/>
      <c r="B71" s="43"/>
      <c r="C71" s="43"/>
      <c r="D71" s="43"/>
      <c r="E71" s="43"/>
      <c r="F71" s="43"/>
      <c r="G71" s="43"/>
      <c r="H71" s="43"/>
      <c r="I71" s="43"/>
      <c r="J71" s="43"/>
    </row>
    <row r="72" spans="1:10" ht="15.5">
      <c r="A72" s="86" t="s">
        <v>46</v>
      </c>
      <c r="B72" s="44">
        <f>+E59</f>
        <v>90.73</v>
      </c>
      <c r="C72" s="44">
        <v>0</v>
      </c>
      <c r="D72" s="44">
        <v>0</v>
      </c>
      <c r="E72" s="44">
        <f>SUM(B72:C72)-D72</f>
        <v>90.73</v>
      </c>
      <c r="F72" s="44">
        <f>+I59</f>
        <v>0</v>
      </c>
      <c r="G72" s="44">
        <v>0</v>
      </c>
      <c r="H72" s="44">
        <v>0</v>
      </c>
      <c r="I72" s="44">
        <f>+F72+H72</f>
        <v>0</v>
      </c>
      <c r="J72" s="44">
        <f>+E72-H72</f>
        <v>90.73</v>
      </c>
    </row>
    <row r="73" spans="1:10" ht="15.5">
      <c r="A73" s="86"/>
      <c r="B73" s="45"/>
      <c r="C73" s="45"/>
      <c r="D73" s="45"/>
      <c r="E73" s="45"/>
      <c r="F73" s="45"/>
      <c r="G73" s="46"/>
      <c r="H73" s="44"/>
      <c r="I73" s="44"/>
      <c r="J73" s="44"/>
    </row>
    <row r="74" spans="1:10" ht="15.5">
      <c r="A74" s="86" t="s">
        <v>47</v>
      </c>
      <c r="B74" s="44">
        <f>+E61</f>
        <v>456.84999999999997</v>
      </c>
      <c r="C74" s="44">
        <v>0</v>
      </c>
      <c r="D74" s="44">
        <v>0</v>
      </c>
      <c r="E74" s="44">
        <f>SUM(B74:C74)-D74</f>
        <v>456.84999999999997</v>
      </c>
      <c r="F74" s="44">
        <f>+I61</f>
        <v>42.354012457749995</v>
      </c>
      <c r="G74" s="98">
        <v>3.1666659999999999E-2</v>
      </c>
      <c r="H74" s="44">
        <f>+E74*G74</f>
        <v>14.466913620999998</v>
      </c>
      <c r="I74" s="44">
        <f>+F74+H74</f>
        <v>56.820926078749991</v>
      </c>
      <c r="J74" s="44">
        <f>+E74-I74</f>
        <v>400.02907392124996</v>
      </c>
    </row>
    <row r="75" spans="1:10" ht="15.5">
      <c r="A75" s="86"/>
      <c r="B75" s="45"/>
      <c r="C75" s="45"/>
      <c r="D75" s="45"/>
      <c r="E75" s="45"/>
      <c r="F75" s="45"/>
      <c r="G75" s="46"/>
      <c r="H75" s="44"/>
      <c r="I75" s="44"/>
      <c r="J75" s="44"/>
    </row>
    <row r="76" spans="1:10" ht="15.5">
      <c r="A76" s="86" t="s">
        <v>36</v>
      </c>
      <c r="B76" s="44">
        <f>+E63</f>
        <v>0</v>
      </c>
      <c r="C76" s="44">
        <v>0</v>
      </c>
      <c r="D76" s="44">
        <v>0</v>
      </c>
      <c r="E76" s="44">
        <f t="shared" ref="E76:E80" si="10">SUM(B76:C76)-D76</f>
        <v>0</v>
      </c>
      <c r="F76" s="44">
        <f>+I63</f>
        <v>0</v>
      </c>
      <c r="G76" s="98">
        <v>9.5000000000000001E-2</v>
      </c>
      <c r="H76" s="44">
        <f>+E76*G76</f>
        <v>0</v>
      </c>
      <c r="I76" s="44">
        <f>+F76+H76</f>
        <v>0</v>
      </c>
      <c r="J76" s="44">
        <f>+E76-I76</f>
        <v>0</v>
      </c>
    </row>
    <row r="77" spans="1:10" ht="15.5">
      <c r="A77" s="86"/>
      <c r="B77" s="47"/>
      <c r="C77" s="47"/>
      <c r="D77" s="47"/>
      <c r="E77" s="44"/>
      <c r="F77" s="47"/>
      <c r="G77" s="48"/>
      <c r="H77" s="44"/>
      <c r="I77" s="44"/>
      <c r="J77" s="44"/>
    </row>
    <row r="78" spans="1:10" ht="15.5">
      <c r="A78" s="87" t="s">
        <v>37</v>
      </c>
      <c r="B78" s="44">
        <f>+E65</f>
        <v>250.35</v>
      </c>
      <c r="C78" s="44">
        <v>0</v>
      </c>
      <c r="D78" s="44">
        <v>0</v>
      </c>
      <c r="E78" s="44">
        <f t="shared" si="10"/>
        <v>250.35</v>
      </c>
      <c r="F78" s="44">
        <f>+I65</f>
        <v>71.626249999999999</v>
      </c>
      <c r="G78" s="99">
        <v>0.1</v>
      </c>
      <c r="H78" s="44">
        <f>+E78*G78</f>
        <v>25.035</v>
      </c>
      <c r="I78" s="44">
        <f>+F78+H78</f>
        <v>96.661249999999995</v>
      </c>
      <c r="J78" s="44">
        <f>+E78-I78</f>
        <v>153.68875</v>
      </c>
    </row>
    <row r="79" spans="1:10" ht="15.5">
      <c r="A79" s="86"/>
      <c r="B79" s="44"/>
      <c r="C79" s="44"/>
      <c r="D79" s="44"/>
      <c r="E79" s="44"/>
      <c r="F79" s="44"/>
      <c r="G79" s="44"/>
      <c r="H79" s="44"/>
      <c r="I79" s="44"/>
      <c r="J79" s="44"/>
    </row>
    <row r="80" spans="1:10" ht="15.5">
      <c r="A80" s="86" t="s">
        <v>219</v>
      </c>
      <c r="B80" s="44">
        <f>+E67</f>
        <v>6.2</v>
      </c>
      <c r="C80" s="44">
        <v>0</v>
      </c>
      <c r="D80" s="44">
        <v>0</v>
      </c>
      <c r="E80" s="44">
        <f t="shared" si="10"/>
        <v>6.2</v>
      </c>
      <c r="F80" s="44">
        <f>+I67</f>
        <v>2.5575000000000001</v>
      </c>
      <c r="G80" s="99">
        <v>0.15</v>
      </c>
      <c r="H80" s="44">
        <f>+E80*G80</f>
        <v>0.92999999999999994</v>
      </c>
      <c r="I80" s="44">
        <f>+F80+H80</f>
        <v>3.4874999999999998</v>
      </c>
      <c r="J80" s="44">
        <f>+E80-I80</f>
        <v>2.7125000000000004</v>
      </c>
    </row>
    <row r="81" spans="1:10" ht="15.5">
      <c r="A81" s="86"/>
      <c r="B81" s="44"/>
      <c r="C81" s="44"/>
      <c r="D81" s="44"/>
      <c r="E81" s="44"/>
      <c r="F81" s="44"/>
      <c r="G81" s="44"/>
      <c r="H81" s="44"/>
      <c r="I81" s="44"/>
      <c r="J81" s="44"/>
    </row>
    <row r="82" spans="1:10" ht="16" thickBot="1">
      <c r="A82" s="3" t="s">
        <v>30</v>
      </c>
      <c r="B82" s="49">
        <f>+SUM(B72:B80)</f>
        <v>804.13</v>
      </c>
      <c r="C82" s="49">
        <f t="shared" ref="C82:J82" si="11">+SUM(C72:C80)</f>
        <v>0</v>
      </c>
      <c r="D82" s="49">
        <f t="shared" si="11"/>
        <v>0</v>
      </c>
      <c r="E82" s="49">
        <f t="shared" si="11"/>
        <v>804.13</v>
      </c>
      <c r="F82" s="49">
        <f t="shared" si="11"/>
        <v>116.53776245775001</v>
      </c>
      <c r="G82" s="49">
        <f t="shared" si="11"/>
        <v>0.37666665999999999</v>
      </c>
      <c r="H82" s="49">
        <f t="shared" si="11"/>
        <v>40.431913621</v>
      </c>
      <c r="I82" s="49">
        <f t="shared" si="11"/>
        <v>156.96967607875001</v>
      </c>
      <c r="J82" s="49">
        <f t="shared" si="11"/>
        <v>647.16032392124998</v>
      </c>
    </row>
    <row r="83" spans="1:10" ht="19" thickBot="1">
      <c r="A83" s="633" t="s">
        <v>220</v>
      </c>
      <c r="B83" s="634"/>
      <c r="C83" s="634"/>
      <c r="D83" s="634"/>
      <c r="E83" s="634"/>
      <c r="F83" s="634"/>
      <c r="G83" s="634"/>
      <c r="H83" s="634"/>
      <c r="I83" s="634"/>
      <c r="J83" s="635"/>
    </row>
    <row r="84" spans="1:10" ht="15.5">
      <c r="A84" s="86"/>
      <c r="B84" s="43"/>
      <c r="C84" s="43"/>
      <c r="D84" s="43"/>
      <c r="E84" s="43"/>
      <c r="F84" s="43"/>
      <c r="G84" s="43"/>
      <c r="H84" s="43"/>
      <c r="I84" s="43"/>
      <c r="J84" s="43"/>
    </row>
    <row r="85" spans="1:10" ht="15.5">
      <c r="A85" s="86" t="s">
        <v>46</v>
      </c>
      <c r="B85" s="44">
        <f>+E72</f>
        <v>90.73</v>
      </c>
      <c r="C85" s="44">
        <v>0</v>
      </c>
      <c r="D85" s="44">
        <v>0</v>
      </c>
      <c r="E85" s="44">
        <f>SUM(B85:C85)-D85</f>
        <v>90.73</v>
      </c>
      <c r="F85" s="44">
        <f>+I72</f>
        <v>0</v>
      </c>
      <c r="G85" s="44">
        <v>0</v>
      </c>
      <c r="H85" s="44">
        <v>0</v>
      </c>
      <c r="I85" s="44">
        <f>+F85+H85</f>
        <v>0</v>
      </c>
      <c r="J85" s="44">
        <f>+E85-H85</f>
        <v>90.73</v>
      </c>
    </row>
    <row r="86" spans="1:10" ht="15.5">
      <c r="A86" s="86"/>
      <c r="B86" s="45"/>
      <c r="C86" s="45"/>
      <c r="D86" s="45"/>
      <c r="E86" s="45"/>
      <c r="F86" s="45"/>
      <c r="G86" s="46"/>
      <c r="H86" s="44"/>
      <c r="I86" s="44"/>
      <c r="J86" s="44"/>
    </row>
    <row r="87" spans="1:10" ht="15.5">
      <c r="A87" s="86" t="s">
        <v>47</v>
      </c>
      <c r="B87" s="44">
        <f>+E74</f>
        <v>456.84999999999997</v>
      </c>
      <c r="C87" s="44">
        <v>0</v>
      </c>
      <c r="D87" s="44">
        <v>0</v>
      </c>
      <c r="E87" s="44">
        <f>SUM(B87:C87)-D87</f>
        <v>456.84999999999997</v>
      </c>
      <c r="F87" s="44">
        <f>+I74</f>
        <v>56.820926078749991</v>
      </c>
      <c r="G87" s="98">
        <v>3.1666659999999999E-2</v>
      </c>
      <c r="H87" s="44">
        <f>+E87*G87</f>
        <v>14.466913620999998</v>
      </c>
      <c r="I87" s="44">
        <f>+F87+H87</f>
        <v>71.287839699749995</v>
      </c>
      <c r="J87" s="44">
        <f>+E87-I87</f>
        <v>385.56216030024996</v>
      </c>
    </row>
    <row r="88" spans="1:10" ht="15.5">
      <c r="A88" s="86"/>
      <c r="B88" s="45"/>
      <c r="C88" s="45"/>
      <c r="D88" s="45"/>
      <c r="E88" s="45"/>
      <c r="F88" s="45"/>
      <c r="G88" s="46"/>
      <c r="H88" s="44"/>
      <c r="I88" s="44"/>
      <c r="J88" s="44"/>
    </row>
    <row r="89" spans="1:10" ht="15.5">
      <c r="A89" s="86" t="s">
        <v>36</v>
      </c>
      <c r="B89" s="44">
        <f>+E76</f>
        <v>0</v>
      </c>
      <c r="C89" s="44">
        <v>0</v>
      </c>
      <c r="D89" s="44">
        <v>0</v>
      </c>
      <c r="E89" s="44">
        <f t="shared" ref="E89:E93" si="12">SUM(B89:C89)-D89</f>
        <v>0</v>
      </c>
      <c r="F89" s="44">
        <f>+I76</f>
        <v>0</v>
      </c>
      <c r="G89" s="98">
        <v>9.5000000000000001E-2</v>
      </c>
      <c r="H89" s="44">
        <f>+E89*G89</f>
        <v>0</v>
      </c>
      <c r="I89" s="44">
        <f>+F89+H89</f>
        <v>0</v>
      </c>
      <c r="J89" s="44">
        <f>+E89-I89</f>
        <v>0</v>
      </c>
    </row>
    <row r="90" spans="1:10" ht="15.5">
      <c r="A90" s="86"/>
      <c r="B90" s="47"/>
      <c r="C90" s="47"/>
      <c r="D90" s="47"/>
      <c r="E90" s="44"/>
      <c r="F90" s="47"/>
      <c r="G90" s="48"/>
      <c r="H90" s="44"/>
      <c r="I90" s="44"/>
      <c r="J90" s="44"/>
    </row>
    <row r="91" spans="1:10" ht="15.5">
      <c r="A91" s="87" t="s">
        <v>37</v>
      </c>
      <c r="B91" s="44">
        <f>+E78</f>
        <v>250.35</v>
      </c>
      <c r="C91" s="44">
        <v>0</v>
      </c>
      <c r="D91" s="44">
        <v>0</v>
      </c>
      <c r="E91" s="44">
        <f t="shared" si="12"/>
        <v>250.35</v>
      </c>
      <c r="F91" s="44">
        <f>+I78</f>
        <v>96.661249999999995</v>
      </c>
      <c r="G91" s="99">
        <v>0.1</v>
      </c>
      <c r="H91" s="44">
        <f>+E91*G91</f>
        <v>25.035</v>
      </c>
      <c r="I91" s="44">
        <f>+F91+H91</f>
        <v>121.69624999999999</v>
      </c>
      <c r="J91" s="44">
        <f>+E91-I91</f>
        <v>128.65375</v>
      </c>
    </row>
    <row r="92" spans="1:10" ht="15.5">
      <c r="A92" s="86"/>
      <c r="B92" s="44"/>
      <c r="C92" s="44"/>
      <c r="D92" s="44"/>
      <c r="E92" s="44"/>
      <c r="F92" s="44"/>
      <c r="G92" s="44"/>
      <c r="H92" s="44"/>
      <c r="I92" s="44"/>
      <c r="J92" s="44"/>
    </row>
    <row r="93" spans="1:10" ht="15.5">
      <c r="A93" s="86" t="s">
        <v>219</v>
      </c>
      <c r="B93" s="44">
        <f>+E80</f>
        <v>6.2</v>
      </c>
      <c r="C93" s="44">
        <v>0</v>
      </c>
      <c r="D93" s="44">
        <v>0</v>
      </c>
      <c r="E93" s="44">
        <f t="shared" si="12"/>
        <v>6.2</v>
      </c>
      <c r="F93" s="44">
        <f>+I80</f>
        <v>3.4874999999999998</v>
      </c>
      <c r="G93" s="99">
        <v>0.15</v>
      </c>
      <c r="H93" s="44">
        <f>+E93*G93</f>
        <v>0.92999999999999994</v>
      </c>
      <c r="I93" s="44">
        <f>+F93+H93</f>
        <v>4.4174999999999995</v>
      </c>
      <c r="J93" s="44">
        <f>+E93-I93</f>
        <v>1.7825000000000006</v>
      </c>
    </row>
    <row r="94" spans="1:10" ht="15.5">
      <c r="A94" s="86"/>
      <c r="B94" s="44"/>
      <c r="C94" s="44"/>
      <c r="D94" s="44"/>
      <c r="E94" s="44"/>
      <c r="F94" s="44"/>
      <c r="G94" s="44"/>
      <c r="H94" s="44"/>
      <c r="I94" s="44"/>
      <c r="J94" s="44"/>
    </row>
    <row r="95" spans="1:10" ht="16" thickBot="1">
      <c r="A95" s="3" t="s">
        <v>30</v>
      </c>
      <c r="B95" s="49">
        <f>+SUM(B85:B93)</f>
        <v>804.13</v>
      </c>
      <c r="C95" s="49">
        <f t="shared" ref="C95:J95" si="13">+SUM(C85:C93)</f>
        <v>0</v>
      </c>
      <c r="D95" s="49">
        <f t="shared" si="13"/>
        <v>0</v>
      </c>
      <c r="E95" s="49">
        <f t="shared" si="13"/>
        <v>804.13</v>
      </c>
      <c r="F95" s="49">
        <f t="shared" si="13"/>
        <v>156.96967607875001</v>
      </c>
      <c r="G95" s="49">
        <f t="shared" si="13"/>
        <v>0.37666665999999999</v>
      </c>
      <c r="H95" s="49">
        <f t="shared" si="13"/>
        <v>40.431913621</v>
      </c>
      <c r="I95" s="49">
        <f t="shared" si="13"/>
        <v>197.40158969974996</v>
      </c>
      <c r="J95" s="49">
        <f t="shared" si="13"/>
        <v>606.72841030025006</v>
      </c>
    </row>
    <row r="96" spans="1:10" ht="19" thickBot="1">
      <c r="A96" s="633" t="s">
        <v>226</v>
      </c>
      <c r="B96" s="634"/>
      <c r="C96" s="634"/>
      <c r="D96" s="634"/>
      <c r="E96" s="634"/>
      <c r="F96" s="634"/>
      <c r="G96" s="634"/>
      <c r="H96" s="634"/>
      <c r="I96" s="634"/>
      <c r="J96" s="635"/>
    </row>
    <row r="97" spans="1:10" ht="15.5">
      <c r="A97" s="86"/>
      <c r="B97" s="43"/>
      <c r="C97" s="43"/>
      <c r="D97" s="43"/>
      <c r="E97" s="43"/>
      <c r="F97" s="43"/>
      <c r="G97" s="43"/>
      <c r="H97" s="43"/>
      <c r="I97" s="43"/>
      <c r="J97" s="43"/>
    </row>
    <row r="98" spans="1:10" ht="15.5">
      <c r="A98" s="86" t="s">
        <v>46</v>
      </c>
      <c r="B98" s="44">
        <f>+E85</f>
        <v>90.73</v>
      </c>
      <c r="C98" s="44">
        <v>0</v>
      </c>
      <c r="D98" s="44">
        <v>0</v>
      </c>
      <c r="E98" s="44">
        <f>SUM(B98:C98)-D98</f>
        <v>90.73</v>
      </c>
      <c r="F98" s="44">
        <f>+I85</f>
        <v>0</v>
      </c>
      <c r="G98" s="44">
        <v>0</v>
      </c>
      <c r="H98" s="44">
        <v>0</v>
      </c>
      <c r="I98" s="44">
        <f>+F98+H98</f>
        <v>0</v>
      </c>
      <c r="J98" s="44">
        <f>+E98-H98</f>
        <v>90.73</v>
      </c>
    </row>
    <row r="99" spans="1:10" ht="15.5">
      <c r="A99" s="86"/>
      <c r="B99" s="45"/>
      <c r="C99" s="45"/>
      <c r="D99" s="45"/>
      <c r="E99" s="45"/>
      <c r="F99" s="45"/>
      <c r="G99" s="46"/>
      <c r="H99" s="44"/>
      <c r="I99" s="44"/>
      <c r="J99" s="44"/>
    </row>
    <row r="100" spans="1:10" ht="15.5">
      <c r="A100" s="86" t="s">
        <v>47</v>
      </c>
      <c r="B100" s="44">
        <f>+E87</f>
        <v>456.84999999999997</v>
      </c>
      <c r="C100" s="44">
        <v>0</v>
      </c>
      <c r="D100" s="44">
        <v>0</v>
      </c>
      <c r="E100" s="44">
        <f>SUM(B100:C100)-D100</f>
        <v>456.84999999999997</v>
      </c>
      <c r="F100" s="44">
        <f>+I87</f>
        <v>71.287839699749995</v>
      </c>
      <c r="G100" s="98">
        <v>3.1666659999999999E-2</v>
      </c>
      <c r="H100" s="44">
        <f>+E100*G100</f>
        <v>14.466913620999998</v>
      </c>
      <c r="I100" s="44">
        <f>+F100+H100</f>
        <v>85.754753320749998</v>
      </c>
      <c r="J100" s="44">
        <f>+E100-I100</f>
        <v>371.09524667924995</v>
      </c>
    </row>
    <row r="101" spans="1:10" ht="15.5">
      <c r="A101" s="86"/>
      <c r="B101" s="45"/>
      <c r="C101" s="45"/>
      <c r="D101" s="45"/>
      <c r="E101" s="45"/>
      <c r="F101" s="45"/>
      <c r="G101" s="46"/>
      <c r="H101" s="44"/>
      <c r="I101" s="44"/>
      <c r="J101" s="44"/>
    </row>
    <row r="102" spans="1:10" ht="15.5">
      <c r="A102" s="86" t="s">
        <v>36</v>
      </c>
      <c r="B102" s="44">
        <f>+E89</f>
        <v>0</v>
      </c>
      <c r="C102" s="44">
        <v>0</v>
      </c>
      <c r="D102" s="44">
        <v>0</v>
      </c>
      <c r="E102" s="44">
        <f t="shared" ref="E102:E106" si="14">SUM(B102:C102)-D102</f>
        <v>0</v>
      </c>
      <c r="F102" s="44">
        <f>+I89</f>
        <v>0</v>
      </c>
      <c r="G102" s="98">
        <v>9.5000000000000001E-2</v>
      </c>
      <c r="H102" s="44">
        <f>+E102*G102</f>
        <v>0</v>
      </c>
      <c r="I102" s="44">
        <f>+F102+H102</f>
        <v>0</v>
      </c>
      <c r="J102" s="44">
        <f>+E102-I102</f>
        <v>0</v>
      </c>
    </row>
    <row r="103" spans="1:10" ht="15.5">
      <c r="A103" s="86"/>
      <c r="B103" s="47"/>
      <c r="C103" s="47"/>
      <c r="D103" s="47"/>
      <c r="E103" s="44"/>
      <c r="F103" s="47"/>
      <c r="G103" s="48"/>
      <c r="H103" s="44"/>
      <c r="I103" s="44"/>
      <c r="J103" s="44"/>
    </row>
    <row r="104" spans="1:10" ht="15.5">
      <c r="A104" s="87" t="s">
        <v>37</v>
      </c>
      <c r="B104" s="44">
        <f>+E91</f>
        <v>250.35</v>
      </c>
      <c r="C104" s="44">
        <v>0</v>
      </c>
      <c r="D104" s="44">
        <v>0</v>
      </c>
      <c r="E104" s="44">
        <f t="shared" si="14"/>
        <v>250.35</v>
      </c>
      <c r="F104" s="44">
        <f>+I91</f>
        <v>121.69624999999999</v>
      </c>
      <c r="G104" s="99">
        <v>0.1</v>
      </c>
      <c r="H104" s="44">
        <f>+E104*G104</f>
        <v>25.035</v>
      </c>
      <c r="I104" s="44">
        <f>+F104+H104</f>
        <v>146.73124999999999</v>
      </c>
      <c r="J104" s="44">
        <f>+E104-I104</f>
        <v>103.61875000000001</v>
      </c>
    </row>
    <row r="105" spans="1:10" ht="15.5">
      <c r="A105" s="86"/>
      <c r="B105" s="44"/>
      <c r="C105" s="44"/>
      <c r="D105" s="44"/>
      <c r="E105" s="44"/>
      <c r="F105" s="44"/>
      <c r="G105" s="44"/>
      <c r="H105" s="44"/>
      <c r="I105" s="44"/>
      <c r="J105" s="44"/>
    </row>
    <row r="106" spans="1:10" ht="15.5">
      <c r="A106" s="86" t="s">
        <v>219</v>
      </c>
      <c r="B106" s="44">
        <f>+E93</f>
        <v>6.2</v>
      </c>
      <c r="C106" s="44">
        <v>0</v>
      </c>
      <c r="D106" s="44">
        <v>0</v>
      </c>
      <c r="E106" s="44">
        <f t="shared" si="14"/>
        <v>6.2</v>
      </c>
      <c r="F106" s="44">
        <f>+I93</f>
        <v>4.4174999999999995</v>
      </c>
      <c r="G106" s="99">
        <v>0.15</v>
      </c>
      <c r="H106" s="44">
        <f>+E106*G106</f>
        <v>0.92999999999999994</v>
      </c>
      <c r="I106" s="44">
        <f>+F106+H106</f>
        <v>5.3474999999999993</v>
      </c>
      <c r="J106" s="44">
        <f>+E106-I106</f>
        <v>0.85250000000000092</v>
      </c>
    </row>
    <row r="107" spans="1:10" ht="15.5">
      <c r="A107" s="86"/>
      <c r="B107" s="44"/>
      <c r="C107" s="44"/>
      <c r="D107" s="44"/>
      <c r="E107" s="44"/>
      <c r="F107" s="44"/>
      <c r="G107" s="44"/>
      <c r="H107" s="44"/>
      <c r="I107" s="44"/>
      <c r="J107" s="44"/>
    </row>
    <row r="108" spans="1:10" ht="16" thickBot="1">
      <c r="A108" s="3" t="s">
        <v>30</v>
      </c>
      <c r="B108" s="49">
        <f>+SUM(B98:B106)</f>
        <v>804.13</v>
      </c>
      <c r="C108" s="49">
        <f t="shared" ref="C108:J108" si="15">+SUM(C98:C106)</f>
        <v>0</v>
      </c>
      <c r="D108" s="49">
        <f t="shared" si="15"/>
        <v>0</v>
      </c>
      <c r="E108" s="49">
        <f t="shared" si="15"/>
        <v>804.13</v>
      </c>
      <c r="F108" s="49">
        <f t="shared" si="15"/>
        <v>197.40158969974996</v>
      </c>
      <c r="G108" s="49">
        <f t="shared" si="15"/>
        <v>0.37666665999999999</v>
      </c>
      <c r="H108" s="49">
        <f t="shared" si="15"/>
        <v>40.431913621</v>
      </c>
      <c r="I108" s="49">
        <f t="shared" si="15"/>
        <v>237.83350332075</v>
      </c>
      <c r="J108" s="49">
        <f t="shared" si="15"/>
        <v>566.29649667924991</v>
      </c>
    </row>
    <row r="109" spans="1:10" ht="19" thickBot="1">
      <c r="A109" s="633" t="s">
        <v>731</v>
      </c>
      <c r="B109" s="634"/>
      <c r="C109" s="634"/>
      <c r="D109" s="634"/>
      <c r="E109" s="634"/>
      <c r="F109" s="634"/>
      <c r="G109" s="634"/>
      <c r="H109" s="634"/>
      <c r="I109" s="634"/>
      <c r="J109" s="635"/>
    </row>
    <row r="110" spans="1:10" ht="15.5">
      <c r="A110" s="86"/>
      <c r="B110" s="43"/>
      <c r="C110" s="43"/>
      <c r="D110" s="43"/>
      <c r="E110" s="43"/>
      <c r="F110" s="43"/>
      <c r="G110" s="43"/>
      <c r="H110" s="43"/>
      <c r="I110" s="43"/>
      <c r="J110" s="43"/>
    </row>
    <row r="111" spans="1:10" ht="15.5">
      <c r="A111" s="86" t="s">
        <v>46</v>
      </c>
      <c r="B111" s="44">
        <f>+E98</f>
        <v>90.73</v>
      </c>
      <c r="C111" s="44">
        <v>0</v>
      </c>
      <c r="D111" s="44">
        <v>0</v>
      </c>
      <c r="E111" s="44">
        <f>SUM(B111:C111)-D111</f>
        <v>90.73</v>
      </c>
      <c r="F111" s="44">
        <f>+I98</f>
        <v>0</v>
      </c>
      <c r="G111" s="44">
        <v>0</v>
      </c>
      <c r="H111" s="44">
        <v>0</v>
      </c>
      <c r="I111" s="44">
        <f>+F111+H111</f>
        <v>0</v>
      </c>
      <c r="J111" s="44">
        <f>+E111-H111</f>
        <v>90.73</v>
      </c>
    </row>
    <row r="112" spans="1:10" ht="15.5">
      <c r="A112" s="86"/>
      <c r="B112" s="45"/>
      <c r="C112" s="45"/>
      <c r="D112" s="45"/>
      <c r="E112" s="45"/>
      <c r="F112" s="45"/>
      <c r="G112" s="46"/>
      <c r="H112" s="44"/>
      <c r="I112" s="44"/>
      <c r="J112" s="44"/>
    </row>
    <row r="113" spans="1:10" ht="15.5">
      <c r="A113" s="86" t="s">
        <v>47</v>
      </c>
      <c r="B113" s="44">
        <f>+E100</f>
        <v>456.84999999999997</v>
      </c>
      <c r="C113" s="44">
        <v>0</v>
      </c>
      <c r="D113" s="44">
        <v>0</v>
      </c>
      <c r="E113" s="44">
        <f>SUM(B113:C113)-D113</f>
        <v>456.84999999999997</v>
      </c>
      <c r="F113" s="44">
        <f>+I100</f>
        <v>85.754753320749998</v>
      </c>
      <c r="G113" s="98">
        <v>3.1666659999999999E-2</v>
      </c>
      <c r="H113" s="44">
        <f>+E113*G113</f>
        <v>14.466913620999998</v>
      </c>
      <c r="I113" s="44">
        <f>+F113+H113</f>
        <v>100.22166694175</v>
      </c>
      <c r="J113" s="44">
        <f>+E113-I113</f>
        <v>356.62833305824995</v>
      </c>
    </row>
    <row r="114" spans="1:10" ht="15.5">
      <c r="A114" s="86"/>
      <c r="B114" s="45"/>
      <c r="C114" s="45"/>
      <c r="D114" s="45"/>
      <c r="E114" s="45"/>
      <c r="F114" s="45"/>
      <c r="G114" s="46"/>
      <c r="H114" s="44"/>
      <c r="I114" s="44"/>
      <c r="J114" s="44"/>
    </row>
    <row r="115" spans="1:10" ht="15.5">
      <c r="A115" s="86" t="s">
        <v>36</v>
      </c>
      <c r="B115" s="44">
        <f>+E102</f>
        <v>0</v>
      </c>
      <c r="C115" s="44">
        <v>0</v>
      </c>
      <c r="D115" s="44">
        <v>0</v>
      </c>
      <c r="E115" s="44">
        <f t="shared" ref="E115" si="16">SUM(B115:C115)-D115</f>
        <v>0</v>
      </c>
      <c r="F115" s="44">
        <f>+I102</f>
        <v>0</v>
      </c>
      <c r="G115" s="98">
        <v>9.5000000000000001E-2</v>
      </c>
      <c r="H115" s="44">
        <f>+E115*G115</f>
        <v>0</v>
      </c>
      <c r="I115" s="44">
        <f>+F115+H115</f>
        <v>0</v>
      </c>
      <c r="J115" s="44">
        <f>+E115-I115</f>
        <v>0</v>
      </c>
    </row>
    <row r="116" spans="1:10" ht="15.5">
      <c r="A116" s="86"/>
      <c r="B116" s="47"/>
      <c r="C116" s="47"/>
      <c r="D116" s="47"/>
      <c r="E116" s="44"/>
      <c r="F116" s="47"/>
      <c r="G116" s="48"/>
      <c r="H116" s="44"/>
      <c r="I116" s="44"/>
      <c r="J116" s="44"/>
    </row>
    <row r="117" spans="1:10" ht="15.5">
      <c r="A117" s="87" t="s">
        <v>37</v>
      </c>
      <c r="B117" s="44">
        <f>+E104</f>
        <v>250.35</v>
      </c>
      <c r="C117" s="44">
        <v>0</v>
      </c>
      <c r="D117" s="44">
        <v>0</v>
      </c>
      <c r="E117" s="44">
        <f t="shared" ref="E117" si="17">SUM(B117:C117)-D117</f>
        <v>250.35</v>
      </c>
      <c r="F117" s="44">
        <f>+I104</f>
        <v>146.73124999999999</v>
      </c>
      <c r="G117" s="99">
        <v>0.1</v>
      </c>
      <c r="H117" s="44">
        <f>+E117*G117</f>
        <v>25.035</v>
      </c>
      <c r="I117" s="44">
        <f>+F117+H117</f>
        <v>171.76624999999999</v>
      </c>
      <c r="J117" s="44">
        <f>+E117-I117</f>
        <v>78.583750000000009</v>
      </c>
    </row>
    <row r="118" spans="1:10" ht="15.5">
      <c r="A118" s="86"/>
      <c r="B118" s="44"/>
      <c r="C118" s="44"/>
      <c r="D118" s="44"/>
      <c r="E118" s="44"/>
      <c r="F118" s="44"/>
      <c r="G118" s="44"/>
      <c r="H118" s="44"/>
      <c r="I118" s="44"/>
      <c r="J118" s="44"/>
    </row>
    <row r="119" spans="1:10" ht="15.5">
      <c r="A119" s="86" t="s">
        <v>219</v>
      </c>
      <c r="B119" s="44">
        <f>+E106</f>
        <v>6.2</v>
      </c>
      <c r="C119" s="44">
        <v>0</v>
      </c>
      <c r="D119" s="44">
        <v>0</v>
      </c>
      <c r="E119" s="44">
        <f t="shared" ref="E119" si="18">SUM(B119:C119)-D119</f>
        <v>6.2</v>
      </c>
      <c r="F119" s="44">
        <f>+I106</f>
        <v>5.3474999999999993</v>
      </c>
      <c r="G119" s="99">
        <v>0.15</v>
      </c>
      <c r="H119" s="44">
        <f>+E119*G119</f>
        <v>0.92999999999999994</v>
      </c>
      <c r="I119" s="44">
        <f>+F119+H119</f>
        <v>6.277499999999999</v>
      </c>
      <c r="J119" s="44">
        <f>+E119-I119</f>
        <v>-7.7499999999998792E-2</v>
      </c>
    </row>
    <row r="120" spans="1:10" ht="15.5">
      <c r="A120" s="86"/>
      <c r="B120" s="44"/>
      <c r="C120" s="44"/>
      <c r="D120" s="44"/>
      <c r="E120" s="44"/>
      <c r="F120" s="44"/>
      <c r="G120" s="44"/>
      <c r="H120" s="44"/>
      <c r="I120" s="44"/>
      <c r="J120" s="44"/>
    </row>
    <row r="121" spans="1:10" ht="16" thickBot="1">
      <c r="A121" s="3" t="s">
        <v>30</v>
      </c>
      <c r="B121" s="49">
        <f>+SUM(B111:B119)</f>
        <v>804.13</v>
      </c>
      <c r="C121" s="49">
        <f t="shared" ref="C121:J121" si="19">+SUM(C111:C119)</f>
        <v>0</v>
      </c>
      <c r="D121" s="49">
        <f t="shared" si="19"/>
        <v>0</v>
      </c>
      <c r="E121" s="49">
        <f t="shared" si="19"/>
        <v>804.13</v>
      </c>
      <c r="F121" s="49">
        <f t="shared" si="19"/>
        <v>237.83350332075</v>
      </c>
      <c r="G121" s="49">
        <f t="shared" si="19"/>
        <v>0.37666665999999999</v>
      </c>
      <c r="H121" s="49">
        <f t="shared" si="19"/>
        <v>40.431913621</v>
      </c>
      <c r="I121" s="49">
        <f t="shared" si="19"/>
        <v>278.26541694174995</v>
      </c>
      <c r="J121" s="49">
        <f t="shared" si="19"/>
        <v>525.86458305824999</v>
      </c>
    </row>
    <row r="122" spans="1:10" ht="19" thickBot="1">
      <c r="A122" s="633" t="s">
        <v>732</v>
      </c>
      <c r="B122" s="634"/>
      <c r="C122" s="634"/>
      <c r="D122" s="634"/>
      <c r="E122" s="634"/>
      <c r="F122" s="634"/>
      <c r="G122" s="634"/>
      <c r="H122" s="634"/>
      <c r="I122" s="634"/>
      <c r="J122" s="635"/>
    </row>
    <row r="123" spans="1:10" ht="15.5">
      <c r="A123" s="86"/>
      <c r="B123" s="43"/>
      <c r="C123" s="43"/>
      <c r="D123" s="43"/>
      <c r="E123" s="43"/>
      <c r="F123" s="43"/>
      <c r="G123" s="43"/>
      <c r="H123" s="43"/>
      <c r="I123" s="43"/>
      <c r="J123" s="43"/>
    </row>
    <row r="124" spans="1:10" ht="15.5">
      <c r="A124" s="86" t="s">
        <v>46</v>
      </c>
      <c r="B124" s="44">
        <f>+E111</f>
        <v>90.73</v>
      </c>
      <c r="C124" s="44">
        <v>0</v>
      </c>
      <c r="D124" s="44">
        <v>0</v>
      </c>
      <c r="E124" s="44">
        <f>SUM(B124:C124)-D124</f>
        <v>90.73</v>
      </c>
      <c r="F124" s="44">
        <f>+I111</f>
        <v>0</v>
      </c>
      <c r="G124" s="44">
        <v>0</v>
      </c>
      <c r="H124" s="44">
        <v>0</v>
      </c>
      <c r="I124" s="44">
        <f>+F124+H124</f>
        <v>0</v>
      </c>
      <c r="J124" s="44">
        <f>+E124-H124</f>
        <v>90.73</v>
      </c>
    </row>
    <row r="125" spans="1:10" ht="15.5">
      <c r="A125" s="86"/>
      <c r="B125" s="45"/>
      <c r="C125" s="45"/>
      <c r="D125" s="45"/>
      <c r="E125" s="45"/>
      <c r="F125" s="45"/>
      <c r="G125" s="46"/>
      <c r="H125" s="44"/>
      <c r="I125" s="44"/>
      <c r="J125" s="44"/>
    </row>
    <row r="126" spans="1:10" ht="15.5">
      <c r="A126" s="86" t="s">
        <v>47</v>
      </c>
      <c r="B126" s="44">
        <f>+E113</f>
        <v>456.84999999999997</v>
      </c>
      <c r="C126" s="44">
        <v>0</v>
      </c>
      <c r="D126" s="44">
        <v>0</v>
      </c>
      <c r="E126" s="44">
        <f>SUM(B126:C126)-D126</f>
        <v>456.84999999999997</v>
      </c>
      <c r="F126" s="44">
        <f>+I113</f>
        <v>100.22166694175</v>
      </c>
      <c r="G126" s="98">
        <v>3.1666659999999999E-2</v>
      </c>
      <c r="H126" s="44">
        <f>+E126*G126</f>
        <v>14.466913620999998</v>
      </c>
      <c r="I126" s="44">
        <f>+F126+H126</f>
        <v>114.68858056275</v>
      </c>
      <c r="J126" s="44">
        <f>+E126-I126</f>
        <v>342.16141943724995</v>
      </c>
    </row>
    <row r="127" spans="1:10" ht="15.5">
      <c r="A127" s="86"/>
      <c r="B127" s="45"/>
      <c r="C127" s="45"/>
      <c r="D127" s="45"/>
      <c r="E127" s="45"/>
      <c r="F127" s="45"/>
      <c r="G127" s="46"/>
      <c r="H127" s="44"/>
      <c r="I127" s="44"/>
      <c r="J127" s="44"/>
    </row>
    <row r="128" spans="1:10" ht="15.5">
      <c r="A128" s="86" t="s">
        <v>36</v>
      </c>
      <c r="B128" s="44">
        <f>+E115</f>
        <v>0</v>
      </c>
      <c r="C128" s="44">
        <v>0</v>
      </c>
      <c r="D128" s="44">
        <v>0</v>
      </c>
      <c r="E128" s="44">
        <f t="shared" ref="E128" si="20">SUM(B128:C128)-D128</f>
        <v>0</v>
      </c>
      <c r="F128" s="44">
        <f>+I115</f>
        <v>0</v>
      </c>
      <c r="G128" s="98">
        <v>9.5000000000000001E-2</v>
      </c>
      <c r="H128" s="44">
        <f>+E128*G128</f>
        <v>0</v>
      </c>
      <c r="I128" s="44">
        <f>+F128+H128</f>
        <v>0</v>
      </c>
      <c r="J128" s="44">
        <f>+E128-I128</f>
        <v>0</v>
      </c>
    </row>
    <row r="129" spans="1:10" ht="15.5">
      <c r="A129" s="86"/>
      <c r="B129" s="47"/>
      <c r="C129" s="47"/>
      <c r="D129" s="47"/>
      <c r="E129" s="44"/>
      <c r="F129" s="47"/>
      <c r="G129" s="48"/>
      <c r="H129" s="44"/>
      <c r="I129" s="44"/>
      <c r="J129" s="44"/>
    </row>
    <row r="130" spans="1:10" ht="15.5">
      <c r="A130" s="87" t="s">
        <v>37</v>
      </c>
      <c r="B130" s="44">
        <f>+E117</f>
        <v>250.35</v>
      </c>
      <c r="C130" s="44">
        <v>0</v>
      </c>
      <c r="D130" s="44">
        <v>0</v>
      </c>
      <c r="E130" s="44">
        <f t="shared" ref="E130" si="21">SUM(B130:C130)-D130</f>
        <v>250.35</v>
      </c>
      <c r="F130" s="44">
        <f>+I117</f>
        <v>171.76624999999999</v>
      </c>
      <c r="G130" s="99">
        <v>0.1</v>
      </c>
      <c r="H130" s="44">
        <f>+E130*G130</f>
        <v>25.035</v>
      </c>
      <c r="I130" s="44">
        <f>+F130+H130</f>
        <v>196.80124999999998</v>
      </c>
      <c r="J130" s="44">
        <f>+E130-I130</f>
        <v>53.548750000000013</v>
      </c>
    </row>
    <row r="131" spans="1:10" ht="15.5">
      <c r="A131" s="86"/>
      <c r="B131" s="44"/>
      <c r="C131" s="44"/>
      <c r="D131" s="44"/>
      <c r="E131" s="44"/>
      <c r="F131" s="44"/>
      <c r="G131" s="44"/>
      <c r="H131" s="44"/>
      <c r="I131" s="44"/>
      <c r="J131" s="44"/>
    </row>
    <row r="132" spans="1:10" ht="15.5">
      <c r="A132" s="86" t="s">
        <v>219</v>
      </c>
      <c r="B132" s="44">
        <f>+E119</f>
        <v>6.2</v>
      </c>
      <c r="C132" s="44">
        <v>0</v>
      </c>
      <c r="D132" s="44">
        <v>0</v>
      </c>
      <c r="E132" s="44">
        <f t="shared" ref="E132" si="22">SUM(B132:C132)-D132</f>
        <v>6.2</v>
      </c>
      <c r="F132" s="44">
        <f>+I119</f>
        <v>6.277499999999999</v>
      </c>
      <c r="G132" s="99">
        <v>0.15</v>
      </c>
      <c r="H132" s="44">
        <f>+E132*G132</f>
        <v>0.92999999999999994</v>
      </c>
      <c r="I132" s="44">
        <f>+F132+H132</f>
        <v>7.2074999999999987</v>
      </c>
      <c r="J132" s="44">
        <f>+E132-I132</f>
        <v>-1.0074999999999985</v>
      </c>
    </row>
    <row r="133" spans="1:10" ht="15.5">
      <c r="A133" s="86"/>
      <c r="B133" s="44"/>
      <c r="C133" s="44"/>
      <c r="D133" s="44"/>
      <c r="E133" s="44"/>
      <c r="F133" s="44"/>
      <c r="G133" s="44"/>
      <c r="H133" s="44"/>
      <c r="I133" s="44"/>
      <c r="J133" s="44"/>
    </row>
    <row r="134" spans="1:10" ht="16" thickBot="1">
      <c r="A134" s="3" t="s">
        <v>30</v>
      </c>
      <c r="B134" s="49">
        <f>+SUM(B124:B132)</f>
        <v>804.13</v>
      </c>
      <c r="C134" s="49">
        <f t="shared" ref="C134:J134" si="23">+SUM(C124:C132)</f>
        <v>0</v>
      </c>
      <c r="D134" s="49">
        <f t="shared" si="23"/>
        <v>0</v>
      </c>
      <c r="E134" s="49">
        <f t="shared" si="23"/>
        <v>804.13</v>
      </c>
      <c r="F134" s="49">
        <f t="shared" si="23"/>
        <v>278.26541694174995</v>
      </c>
      <c r="G134" s="49">
        <f t="shared" si="23"/>
        <v>0.37666665999999999</v>
      </c>
      <c r="H134" s="49">
        <f t="shared" si="23"/>
        <v>40.431913621</v>
      </c>
      <c r="I134" s="49">
        <f t="shared" si="23"/>
        <v>318.69733056274998</v>
      </c>
      <c r="J134" s="49">
        <f t="shared" si="23"/>
        <v>485.43266943725001</v>
      </c>
    </row>
  </sheetData>
  <mergeCells count="18">
    <mergeCell ref="A1:J1"/>
    <mergeCell ref="H2:J2"/>
    <mergeCell ref="B3:B4"/>
    <mergeCell ref="E3:E4"/>
    <mergeCell ref="F3:F4"/>
    <mergeCell ref="H3:H4"/>
    <mergeCell ref="I3:I4"/>
    <mergeCell ref="A109:J109"/>
    <mergeCell ref="A122:J122"/>
    <mergeCell ref="K3:K4"/>
    <mergeCell ref="A5:J5"/>
    <mergeCell ref="A18:J18"/>
    <mergeCell ref="A31:J31"/>
    <mergeCell ref="A44:J44"/>
    <mergeCell ref="A57:J57"/>
    <mergeCell ref="A70:J70"/>
    <mergeCell ref="A83:J83"/>
    <mergeCell ref="A96:J96"/>
  </mergeCells>
  <pageMargins left="0.7" right="0.7" top="0.75" bottom="0.75" header="0.3" footer="0.3"/>
  <pageSetup paperSize="9" scale="59" orientation="landscape" r:id="rId1"/>
  <headerFooter>
    <oddHeader>&amp;C&amp;"Book Antiqua,Bold"&amp;13</oddHeader>
    <oddFooter>&amp;C&amp;"-,Bold"&amp;12Prepared by JNR Corporate Advisory Services Private Limited, Contact details: jnr4india@gmail.com, +918602267779, +918962611446</oddFooter>
  </headerFooter>
  <rowBreaks count="2" manualBreakCount="2">
    <brk id="43" max="9" man="1"/>
    <brk id="82" max="9" man="1"/>
  </rowBreaks>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B1:N52"/>
  <sheetViews>
    <sheetView showGridLines="0" view="pageBreakPreview" zoomScaleSheetLayoutView="100" workbookViewId="0">
      <selection activeCell="M11" sqref="M11"/>
    </sheetView>
  </sheetViews>
  <sheetFormatPr defaultColWidth="9.1796875" defaultRowHeight="14.5"/>
  <cols>
    <col min="1" max="1" width="3" style="164" customWidth="1"/>
    <col min="2" max="2" width="8.1796875" style="164" customWidth="1"/>
    <col min="3" max="3" width="29.7265625" style="164" customWidth="1"/>
    <col min="4" max="4" width="7.81640625" style="164" customWidth="1"/>
    <col min="5" max="5" width="13" style="164" customWidth="1"/>
    <col min="6" max="6" width="12.81640625" style="164" hidden="1" customWidth="1"/>
    <col min="7" max="7" width="12.453125" style="164" customWidth="1"/>
    <col min="8" max="8" width="12.1796875" style="164" customWidth="1"/>
    <col min="9" max="9" width="12.81640625" style="164" customWidth="1"/>
    <col min="10" max="10" width="12.54296875" style="164" customWidth="1"/>
    <col min="11" max="11" width="13" style="164" customWidth="1"/>
    <col min="12" max="12" width="12.7265625" style="164" customWidth="1"/>
    <col min="13" max="14" width="12" style="164" customWidth="1"/>
    <col min="15" max="16384" width="9.1796875" style="164"/>
  </cols>
  <sheetData>
    <row r="1" spans="2:14">
      <c r="B1" s="160" t="s">
        <v>227</v>
      </c>
      <c r="C1" s="161"/>
      <c r="D1" s="161"/>
      <c r="E1" s="162"/>
      <c r="F1" s="163"/>
      <c r="G1" s="163"/>
      <c r="H1" s="163"/>
      <c r="I1" s="163"/>
      <c r="J1" s="163"/>
      <c r="K1" s="163"/>
    </row>
    <row r="2" spans="2:14" ht="15" thickBot="1">
      <c r="B2" s="161"/>
      <c r="C2" s="161"/>
      <c r="D2" s="161"/>
      <c r="E2" s="162"/>
      <c r="F2" s="163"/>
      <c r="G2" s="163"/>
      <c r="H2" s="163"/>
      <c r="I2" s="163"/>
      <c r="J2" s="163"/>
      <c r="K2" s="163"/>
    </row>
    <row r="3" spans="2:14">
      <c r="B3" s="165" t="s">
        <v>115</v>
      </c>
      <c r="C3" s="166"/>
      <c r="D3" s="166"/>
      <c r="E3" s="167"/>
      <c r="F3" s="168"/>
      <c r="G3" s="168"/>
      <c r="H3" s="168"/>
      <c r="I3" s="168"/>
      <c r="J3" s="168"/>
      <c r="K3" s="169"/>
      <c r="L3" s="170"/>
      <c r="M3" s="171"/>
      <c r="N3" s="171"/>
    </row>
    <row r="4" spans="2:14">
      <c r="B4" s="172"/>
      <c r="C4" s="173"/>
      <c r="D4" s="173"/>
      <c r="E4" s="174"/>
      <c r="F4" s="163"/>
      <c r="G4" s="163"/>
      <c r="H4" s="163"/>
      <c r="I4" s="163"/>
      <c r="J4" s="163"/>
      <c r="K4" s="163"/>
      <c r="M4" s="175"/>
      <c r="N4" s="175"/>
    </row>
    <row r="5" spans="2:14" ht="64.5" customHeight="1">
      <c r="B5" s="613" t="s">
        <v>116</v>
      </c>
      <c r="C5" s="614"/>
      <c r="D5" s="614"/>
      <c r="E5" s="614"/>
      <c r="F5" s="614"/>
      <c r="G5" s="614"/>
      <c r="H5" s="614"/>
      <c r="I5" s="614"/>
      <c r="J5" s="614"/>
      <c r="K5" s="614"/>
      <c r="L5" s="614"/>
      <c r="M5" s="175"/>
      <c r="N5" s="175"/>
    </row>
    <row r="6" spans="2:14">
      <c r="B6" s="176"/>
      <c r="C6" s="177"/>
      <c r="D6" s="177"/>
      <c r="E6" s="174"/>
      <c r="F6" s="163"/>
      <c r="G6" s="163"/>
      <c r="H6" s="163"/>
      <c r="I6" s="163"/>
      <c r="J6" s="163"/>
      <c r="K6" s="163"/>
      <c r="M6" s="175"/>
      <c r="N6" s="175"/>
    </row>
    <row r="7" spans="2:14" ht="30.75" customHeight="1">
      <c r="B7" s="613" t="s">
        <v>117</v>
      </c>
      <c r="C7" s="614"/>
      <c r="D7" s="614"/>
      <c r="E7" s="614"/>
      <c r="F7" s="614"/>
      <c r="G7" s="614"/>
      <c r="H7" s="614"/>
      <c r="I7" s="614"/>
      <c r="J7" s="614"/>
      <c r="K7" s="614"/>
      <c r="L7" s="614"/>
      <c r="M7" s="175"/>
      <c r="N7" s="175"/>
    </row>
    <row r="8" spans="2:14">
      <c r="B8" s="178"/>
      <c r="C8" s="173"/>
      <c r="D8" s="173"/>
      <c r="E8" s="174"/>
      <c r="F8" s="163"/>
      <c r="G8" s="163"/>
      <c r="H8" s="163"/>
      <c r="I8" s="163"/>
      <c r="J8" s="163"/>
      <c r="K8" s="163"/>
      <c r="M8" s="175"/>
      <c r="N8" s="175"/>
    </row>
    <row r="9" spans="2:14" ht="15" thickBot="1">
      <c r="B9" s="179" t="s">
        <v>118</v>
      </c>
      <c r="C9" s="173"/>
      <c r="D9" s="173"/>
      <c r="E9" s="174"/>
      <c r="F9" s="180"/>
      <c r="G9" s="180"/>
      <c r="H9" s="163"/>
      <c r="I9" s="163"/>
      <c r="J9" s="163"/>
      <c r="K9" s="181"/>
      <c r="L9" s="182"/>
      <c r="M9" s="183" t="s">
        <v>16</v>
      </c>
      <c r="N9" s="183"/>
    </row>
    <row r="10" spans="2:14">
      <c r="B10" s="206" t="s">
        <v>119</v>
      </c>
      <c r="C10" s="207" t="s">
        <v>1</v>
      </c>
      <c r="D10" s="208" t="s">
        <v>97</v>
      </c>
      <c r="E10" s="209" t="s">
        <v>55</v>
      </c>
      <c r="F10" s="214" t="s">
        <v>20</v>
      </c>
      <c r="G10" s="214" t="s">
        <v>21</v>
      </c>
      <c r="H10" s="214" t="s">
        <v>27</v>
      </c>
      <c r="I10" s="214" t="s">
        <v>28</v>
      </c>
      <c r="J10" s="214" t="s">
        <v>57</v>
      </c>
      <c r="K10" s="214" t="s">
        <v>138</v>
      </c>
      <c r="L10" s="214" t="s">
        <v>225</v>
      </c>
      <c r="M10" s="214" t="s">
        <v>729</v>
      </c>
      <c r="N10" s="214" t="s">
        <v>741</v>
      </c>
    </row>
    <row r="11" spans="2:14">
      <c r="B11" s="210"/>
      <c r="C11" s="211"/>
      <c r="D11" s="212"/>
      <c r="E11" s="213"/>
      <c r="F11" s="214">
        <v>3</v>
      </c>
      <c r="G11" s="214">
        <v>6</v>
      </c>
      <c r="H11" s="214">
        <v>12</v>
      </c>
      <c r="I11" s="214">
        <v>12</v>
      </c>
      <c r="J11" s="214">
        <v>12</v>
      </c>
      <c r="K11" s="214">
        <v>12</v>
      </c>
      <c r="L11" s="214">
        <v>12</v>
      </c>
      <c r="M11" s="214">
        <v>12</v>
      </c>
      <c r="N11" s="214">
        <v>12</v>
      </c>
    </row>
    <row r="12" spans="2:14" ht="15" thickBot="1">
      <c r="B12" s="215"/>
      <c r="C12" s="216"/>
      <c r="D12" s="217"/>
      <c r="E12" s="218"/>
      <c r="F12" s="219" t="s">
        <v>208</v>
      </c>
      <c r="G12" s="219" t="s">
        <v>208</v>
      </c>
      <c r="H12" s="219" t="s">
        <v>208</v>
      </c>
      <c r="I12" s="219" t="s">
        <v>208</v>
      </c>
      <c r="J12" s="219" t="s">
        <v>208</v>
      </c>
      <c r="K12" s="219" t="s">
        <v>208</v>
      </c>
      <c r="L12" s="219" t="s">
        <v>208</v>
      </c>
      <c r="M12" s="219" t="s">
        <v>208</v>
      </c>
      <c r="N12" s="219" t="s">
        <v>208</v>
      </c>
    </row>
    <row r="13" spans="2:14">
      <c r="B13" s="178"/>
      <c r="C13" s="173"/>
      <c r="D13" s="161"/>
      <c r="E13" s="162"/>
      <c r="F13" s="163"/>
      <c r="G13" s="163"/>
      <c r="H13" s="163"/>
      <c r="I13" s="163"/>
      <c r="J13" s="163"/>
      <c r="K13" s="163"/>
    </row>
    <row r="14" spans="2:14">
      <c r="B14" s="184">
        <v>1</v>
      </c>
      <c r="C14" s="161" t="s">
        <v>207</v>
      </c>
      <c r="D14" s="185">
        <v>15</v>
      </c>
      <c r="E14" s="186">
        <v>12000</v>
      </c>
      <c r="F14" s="163">
        <f>((D14*E14)*$F$11)/10^5</f>
        <v>5.4</v>
      </c>
      <c r="G14" s="163">
        <f t="shared" ref="G14:G19" si="0">F14*$G$11/$F$11*100%</f>
        <v>10.800000000000002</v>
      </c>
      <c r="H14" s="163">
        <f>G14*100%*2</f>
        <v>21.600000000000005</v>
      </c>
      <c r="I14" s="163">
        <f t="shared" ref="I14:L15" si="1">H14*100%</f>
        <v>21.600000000000005</v>
      </c>
      <c r="J14" s="163">
        <f t="shared" si="1"/>
        <v>21.600000000000005</v>
      </c>
      <c r="K14" s="163">
        <f t="shared" si="1"/>
        <v>21.600000000000005</v>
      </c>
      <c r="L14" s="163">
        <f t="shared" si="1"/>
        <v>21.600000000000005</v>
      </c>
      <c r="M14" s="163">
        <f t="shared" ref="M14:M19" si="2">L14*100%</f>
        <v>21.600000000000005</v>
      </c>
      <c r="N14" s="163">
        <f t="shared" ref="N14:N19" si="3">M14*100%</f>
        <v>21.600000000000005</v>
      </c>
    </row>
    <row r="15" spans="2:14">
      <c r="B15" s="184">
        <f>B14+1</f>
        <v>2</v>
      </c>
      <c r="C15" s="161" t="s">
        <v>284</v>
      </c>
      <c r="D15" s="185">
        <v>80</v>
      </c>
      <c r="E15" s="186">
        <v>8000</v>
      </c>
      <c r="F15" s="163">
        <f>((D15*E15)*$F$11)/10^5</f>
        <v>19.2</v>
      </c>
      <c r="G15" s="163">
        <f t="shared" si="0"/>
        <v>38.4</v>
      </c>
      <c r="H15" s="163">
        <f t="shared" ref="H15:H19" si="4">G15*100%*2</f>
        <v>76.8</v>
      </c>
      <c r="I15" s="163">
        <f t="shared" si="1"/>
        <v>76.8</v>
      </c>
      <c r="J15" s="187">
        <f t="shared" si="1"/>
        <v>76.8</v>
      </c>
      <c r="K15" s="187">
        <f t="shared" si="1"/>
        <v>76.8</v>
      </c>
      <c r="L15" s="187">
        <f t="shared" si="1"/>
        <v>76.8</v>
      </c>
      <c r="M15" s="187">
        <f t="shared" si="2"/>
        <v>76.8</v>
      </c>
      <c r="N15" s="187">
        <f t="shared" si="3"/>
        <v>76.8</v>
      </c>
    </row>
    <row r="16" spans="2:14">
      <c r="B16" s="184">
        <v>3</v>
      </c>
      <c r="C16" s="161" t="s">
        <v>285</v>
      </c>
      <c r="D16" s="185">
        <v>2</v>
      </c>
      <c r="E16" s="186">
        <v>15000</v>
      </c>
      <c r="F16" s="163">
        <f>((D16*E16)*$F$11)/10^5</f>
        <v>0.9</v>
      </c>
      <c r="G16" s="163">
        <f t="shared" si="0"/>
        <v>1.8</v>
      </c>
      <c r="H16" s="163">
        <f t="shared" si="4"/>
        <v>3.6</v>
      </c>
      <c r="I16" s="163">
        <f t="shared" ref="I16" si="5">H16*100%</f>
        <v>3.6</v>
      </c>
      <c r="J16" s="187">
        <f t="shared" ref="J16" si="6">I16*100%</f>
        <v>3.6</v>
      </c>
      <c r="K16" s="187">
        <f t="shared" ref="K16" si="7">J16*100%</f>
        <v>3.6</v>
      </c>
      <c r="L16" s="187">
        <f t="shared" ref="L16" si="8">K16*100%</f>
        <v>3.6</v>
      </c>
      <c r="M16" s="187">
        <f t="shared" si="2"/>
        <v>3.6</v>
      </c>
      <c r="N16" s="187">
        <f t="shared" si="3"/>
        <v>3.6</v>
      </c>
    </row>
    <row r="17" spans="2:14">
      <c r="B17" s="184">
        <v>4</v>
      </c>
      <c r="C17" s="161" t="s">
        <v>209</v>
      </c>
      <c r="D17" s="185">
        <v>6</v>
      </c>
      <c r="E17" s="186">
        <v>10000</v>
      </c>
      <c r="F17" s="163">
        <f t="shared" ref="F17:F19" si="9">((D17*E17)*$F$11)/10^5</f>
        <v>1.8</v>
      </c>
      <c r="G17" s="163">
        <f t="shared" si="0"/>
        <v>3.6</v>
      </c>
      <c r="H17" s="163">
        <f t="shared" si="4"/>
        <v>7.2</v>
      </c>
      <c r="I17" s="163">
        <f t="shared" ref="I17:L19" si="10">H17*100%</f>
        <v>7.2</v>
      </c>
      <c r="J17" s="187">
        <f t="shared" si="10"/>
        <v>7.2</v>
      </c>
      <c r="K17" s="187">
        <f t="shared" si="10"/>
        <v>7.2</v>
      </c>
      <c r="L17" s="187">
        <f t="shared" si="10"/>
        <v>7.2</v>
      </c>
      <c r="M17" s="187">
        <f t="shared" si="2"/>
        <v>7.2</v>
      </c>
      <c r="N17" s="187">
        <f t="shared" si="3"/>
        <v>7.2</v>
      </c>
    </row>
    <row r="18" spans="2:14">
      <c r="B18" s="184">
        <v>5</v>
      </c>
      <c r="C18" s="161" t="s">
        <v>210</v>
      </c>
      <c r="D18" s="185">
        <v>3</v>
      </c>
      <c r="E18" s="186">
        <v>15000</v>
      </c>
      <c r="F18" s="163">
        <f t="shared" si="9"/>
        <v>1.35</v>
      </c>
      <c r="G18" s="163">
        <f t="shared" si="0"/>
        <v>2.7000000000000006</v>
      </c>
      <c r="H18" s="163">
        <f t="shared" si="4"/>
        <v>5.4000000000000012</v>
      </c>
      <c r="I18" s="163">
        <f t="shared" si="10"/>
        <v>5.4000000000000012</v>
      </c>
      <c r="J18" s="187">
        <f t="shared" si="10"/>
        <v>5.4000000000000012</v>
      </c>
      <c r="K18" s="187">
        <f t="shared" si="10"/>
        <v>5.4000000000000012</v>
      </c>
      <c r="L18" s="187">
        <f t="shared" si="10"/>
        <v>5.4000000000000012</v>
      </c>
      <c r="M18" s="187">
        <f t="shared" si="2"/>
        <v>5.4000000000000012</v>
      </c>
      <c r="N18" s="187">
        <f t="shared" si="3"/>
        <v>5.4000000000000012</v>
      </c>
    </row>
    <row r="19" spans="2:14">
      <c r="B19" s="184">
        <v>6</v>
      </c>
      <c r="C19" s="161" t="s">
        <v>120</v>
      </c>
      <c r="D19" s="185">
        <v>3</v>
      </c>
      <c r="E19" s="186">
        <v>8000</v>
      </c>
      <c r="F19" s="163">
        <f t="shared" si="9"/>
        <v>0.72</v>
      </c>
      <c r="G19" s="163">
        <f t="shared" si="0"/>
        <v>1.4400000000000002</v>
      </c>
      <c r="H19" s="163">
        <f t="shared" si="4"/>
        <v>2.8800000000000003</v>
      </c>
      <c r="I19" s="163">
        <f t="shared" si="10"/>
        <v>2.8800000000000003</v>
      </c>
      <c r="J19" s="187">
        <f t="shared" si="10"/>
        <v>2.8800000000000003</v>
      </c>
      <c r="K19" s="187">
        <f t="shared" si="10"/>
        <v>2.8800000000000003</v>
      </c>
      <c r="L19" s="187">
        <f t="shared" si="10"/>
        <v>2.8800000000000003</v>
      </c>
      <c r="M19" s="187">
        <f t="shared" si="2"/>
        <v>2.8800000000000003</v>
      </c>
      <c r="N19" s="187">
        <f t="shared" si="3"/>
        <v>2.8800000000000003</v>
      </c>
    </row>
    <row r="20" spans="2:14">
      <c r="B20" s="184"/>
      <c r="C20" s="161" t="s">
        <v>121</v>
      </c>
      <c r="D20" s="188">
        <f>SUM(D14:D19)</f>
        <v>109</v>
      </c>
      <c r="E20" s="189"/>
      <c r="F20" s="190">
        <f t="shared" ref="F20:L20" si="11">SUM(F14:F19)</f>
        <v>29.37</v>
      </c>
      <c r="G20" s="190">
        <f t="shared" si="11"/>
        <v>58.74</v>
      </c>
      <c r="H20" s="190">
        <f t="shared" si="11"/>
        <v>117.48</v>
      </c>
      <c r="I20" s="190">
        <f t="shared" si="11"/>
        <v>117.48</v>
      </c>
      <c r="J20" s="190">
        <f t="shared" si="11"/>
        <v>117.48</v>
      </c>
      <c r="K20" s="190">
        <f t="shared" si="11"/>
        <v>117.48</v>
      </c>
      <c r="L20" s="190">
        <f t="shared" si="11"/>
        <v>117.48</v>
      </c>
      <c r="M20" s="190">
        <f t="shared" ref="M20:N20" si="12">SUM(M14:M19)</f>
        <v>117.48</v>
      </c>
      <c r="N20" s="190">
        <f t="shared" si="12"/>
        <v>117.48</v>
      </c>
    </row>
    <row r="21" spans="2:14">
      <c r="B21" s="184"/>
      <c r="C21" s="191"/>
      <c r="D21" s="162"/>
      <c r="E21" s="162"/>
      <c r="F21" s="163"/>
      <c r="G21" s="163"/>
      <c r="H21" s="163"/>
      <c r="I21" s="163"/>
      <c r="J21" s="163"/>
      <c r="K21" s="163"/>
      <c r="L21" s="163"/>
      <c r="M21" s="163"/>
      <c r="N21" s="163"/>
    </row>
    <row r="22" spans="2:14">
      <c r="B22" s="184"/>
      <c r="C22" s="161" t="s">
        <v>122</v>
      </c>
      <c r="D22" s="162"/>
      <c r="E22" s="162"/>
      <c r="F22" s="163">
        <f t="shared" ref="F22:L22" si="13">F20*20%</f>
        <v>5.8740000000000006</v>
      </c>
      <c r="G22" s="163">
        <f>G20*20%</f>
        <v>11.748000000000001</v>
      </c>
      <c r="H22" s="163">
        <f t="shared" si="13"/>
        <v>23.496000000000002</v>
      </c>
      <c r="I22" s="163">
        <f>I20*20%</f>
        <v>23.496000000000002</v>
      </c>
      <c r="J22" s="163">
        <f t="shared" si="13"/>
        <v>23.496000000000002</v>
      </c>
      <c r="K22" s="163">
        <f t="shared" si="13"/>
        <v>23.496000000000002</v>
      </c>
      <c r="L22" s="163">
        <f t="shared" si="13"/>
        <v>23.496000000000002</v>
      </c>
      <c r="M22" s="163">
        <f t="shared" ref="M22:N22" si="14">M20*20%</f>
        <v>23.496000000000002</v>
      </c>
      <c r="N22" s="163">
        <f t="shared" si="14"/>
        <v>23.496000000000002</v>
      </c>
    </row>
    <row r="23" spans="2:14" ht="15" thickBot="1">
      <c r="B23" s="184"/>
      <c r="C23" s="177"/>
      <c r="D23" s="162"/>
      <c r="E23" s="162"/>
      <c r="F23" s="163"/>
      <c r="G23" s="163"/>
      <c r="H23" s="163"/>
      <c r="I23" s="163"/>
      <c r="J23" s="163"/>
      <c r="K23" s="163"/>
      <c r="L23" s="163"/>
      <c r="M23" s="163"/>
      <c r="N23" s="163"/>
    </row>
    <row r="24" spans="2:14" s="192" customFormat="1" ht="15" thickBot="1">
      <c r="B24" s="220"/>
      <c r="C24" s="221" t="s">
        <v>30</v>
      </c>
      <c r="D24" s="222">
        <f>D20</f>
        <v>109</v>
      </c>
      <c r="E24" s="223"/>
      <c r="F24" s="224">
        <f t="shared" ref="F24:L24" si="15">(F20+F22)</f>
        <v>35.244</v>
      </c>
      <c r="G24" s="224">
        <f t="shared" si="15"/>
        <v>70.488</v>
      </c>
      <c r="H24" s="224">
        <f t="shared" si="15"/>
        <v>140.976</v>
      </c>
      <c r="I24" s="224">
        <f t="shared" si="15"/>
        <v>140.976</v>
      </c>
      <c r="J24" s="224">
        <f t="shared" si="15"/>
        <v>140.976</v>
      </c>
      <c r="K24" s="224">
        <f t="shared" si="15"/>
        <v>140.976</v>
      </c>
      <c r="L24" s="225">
        <f t="shared" si="15"/>
        <v>140.976</v>
      </c>
      <c r="M24" s="225">
        <f t="shared" ref="M24:N24" si="16">(M20+M22)</f>
        <v>140.976</v>
      </c>
      <c r="N24" s="225">
        <f t="shared" si="16"/>
        <v>140.976</v>
      </c>
    </row>
    <row r="25" spans="2:14">
      <c r="B25" s="193"/>
      <c r="C25" s="161"/>
      <c r="D25" s="161"/>
      <c r="E25" s="162"/>
      <c r="F25" s="163"/>
      <c r="G25" s="163"/>
      <c r="H25" s="163"/>
      <c r="I25" s="163"/>
      <c r="J25" s="163"/>
      <c r="K25" s="163"/>
      <c r="M25" s="175"/>
      <c r="N25" s="175"/>
    </row>
    <row r="26" spans="2:14" ht="15" thickBot="1">
      <c r="B26" s="194"/>
      <c r="C26" s="195"/>
      <c r="D26" s="195"/>
      <c r="E26" s="196"/>
      <c r="F26" s="197"/>
      <c r="G26" s="197"/>
      <c r="H26" s="197"/>
      <c r="I26" s="197"/>
      <c r="J26" s="197"/>
      <c r="K26" s="197"/>
      <c r="L26" s="198"/>
      <c r="M26" s="199"/>
      <c r="N26" s="199"/>
    </row>
    <row r="27" spans="2:14">
      <c r="B27" s="163"/>
      <c r="C27" s="173"/>
      <c r="D27" s="162"/>
      <c r="E27" s="162"/>
      <c r="F27" s="163"/>
      <c r="G27" s="163"/>
      <c r="H27" s="163"/>
      <c r="I27" s="163"/>
      <c r="J27" s="163"/>
      <c r="K27" s="163"/>
    </row>
    <row r="28" spans="2:14">
      <c r="B28" s="200"/>
      <c r="C28" s="173"/>
      <c r="D28" s="162"/>
      <c r="E28" s="162"/>
      <c r="F28" s="163"/>
      <c r="G28" s="163"/>
      <c r="H28" s="163"/>
      <c r="I28" s="163"/>
      <c r="J28" s="163"/>
      <c r="K28" s="163"/>
    </row>
    <row r="29" spans="2:14">
      <c r="B29" s="200"/>
      <c r="C29" s="173"/>
      <c r="D29" s="162"/>
      <c r="E29" s="162"/>
      <c r="F29" s="163"/>
      <c r="G29" s="163"/>
      <c r="H29" s="163"/>
      <c r="I29" s="163"/>
      <c r="J29" s="163"/>
      <c r="K29" s="163"/>
    </row>
    <row r="30" spans="2:14">
      <c r="B30" s="200"/>
      <c r="C30" s="173"/>
      <c r="D30" s="162"/>
      <c r="E30" s="162"/>
      <c r="F30" s="163"/>
      <c r="G30" s="163"/>
      <c r="H30" s="163"/>
      <c r="I30" s="163"/>
      <c r="J30" s="163"/>
      <c r="K30" s="163"/>
    </row>
    <row r="31" spans="2:14">
      <c r="B31" s="200"/>
      <c r="C31" s="173"/>
      <c r="D31" s="162"/>
      <c r="E31" s="162"/>
      <c r="F31" s="163"/>
      <c r="G31" s="163"/>
      <c r="H31" s="163"/>
      <c r="I31" s="163"/>
      <c r="J31" s="163"/>
      <c r="K31" s="163"/>
    </row>
    <row r="32" spans="2:14">
      <c r="B32" s="200"/>
      <c r="C32" s="173"/>
      <c r="D32" s="162"/>
      <c r="E32" s="162"/>
      <c r="F32" s="163"/>
      <c r="G32" s="163"/>
      <c r="H32" s="163"/>
      <c r="I32" s="163"/>
      <c r="J32" s="163"/>
      <c r="K32" s="163"/>
    </row>
    <row r="33" spans="2:11">
      <c r="B33" s="200"/>
      <c r="C33" s="173"/>
      <c r="D33" s="161"/>
      <c r="E33" s="162"/>
      <c r="F33" s="163"/>
      <c r="G33" s="163"/>
      <c r="H33" s="163"/>
      <c r="I33" s="163"/>
      <c r="J33" s="163"/>
      <c r="K33" s="163"/>
    </row>
    <row r="34" spans="2:11">
      <c r="B34" s="201"/>
      <c r="C34" s="202"/>
      <c r="D34" s="162"/>
      <c r="E34" s="162"/>
      <c r="F34" s="163"/>
      <c r="G34" s="163"/>
      <c r="H34" s="163"/>
      <c r="I34" s="163"/>
      <c r="J34" s="163"/>
      <c r="K34" s="163"/>
    </row>
    <row r="35" spans="2:11">
      <c r="B35" s="200"/>
      <c r="C35" s="202"/>
      <c r="D35" s="161"/>
      <c r="E35" s="162"/>
      <c r="F35" s="163"/>
      <c r="G35" s="163"/>
      <c r="H35" s="163"/>
      <c r="I35" s="163"/>
      <c r="J35" s="163"/>
      <c r="K35" s="163"/>
    </row>
    <row r="36" spans="2:11">
      <c r="B36" s="200"/>
      <c r="C36" s="202"/>
      <c r="D36" s="203"/>
      <c r="E36" s="162"/>
      <c r="F36" s="204"/>
      <c r="G36" s="204"/>
      <c r="H36" s="204"/>
      <c r="I36" s="204"/>
      <c r="J36" s="204"/>
      <c r="K36" s="204"/>
    </row>
    <row r="37" spans="2:11">
      <c r="B37" s="200"/>
      <c r="C37" s="173"/>
      <c r="D37" s="161"/>
      <c r="E37" s="162"/>
      <c r="F37" s="163"/>
      <c r="G37" s="163"/>
      <c r="H37" s="163"/>
      <c r="I37" s="163"/>
      <c r="J37" s="163"/>
      <c r="K37" s="163"/>
    </row>
    <row r="38" spans="2:11">
      <c r="B38" s="200"/>
      <c r="C38" s="173"/>
      <c r="D38" s="205"/>
      <c r="E38" s="162"/>
      <c r="F38" s="163"/>
      <c r="G38" s="163"/>
      <c r="H38" s="163"/>
      <c r="I38" s="163"/>
      <c r="J38" s="163"/>
      <c r="K38" s="163"/>
    </row>
    <row r="39" spans="2:11">
      <c r="B39" s="200"/>
      <c r="C39" s="173"/>
      <c r="D39" s="161"/>
      <c r="E39" s="162"/>
      <c r="F39" s="163"/>
      <c r="G39" s="163"/>
      <c r="H39" s="163"/>
      <c r="I39" s="163"/>
      <c r="J39" s="163"/>
      <c r="K39" s="163"/>
    </row>
    <row r="40" spans="2:11">
      <c r="B40" s="161"/>
      <c r="C40" s="161"/>
      <c r="D40" s="161"/>
      <c r="E40" s="162"/>
      <c r="F40" s="163"/>
      <c r="G40" s="163"/>
      <c r="H40" s="163"/>
      <c r="I40" s="163"/>
      <c r="J40" s="163"/>
      <c r="K40" s="163"/>
    </row>
    <row r="41" spans="2:11">
      <c r="B41" s="161"/>
      <c r="C41" s="161"/>
      <c r="D41" s="161"/>
      <c r="E41" s="162"/>
      <c r="F41" s="163"/>
      <c r="G41" s="163"/>
      <c r="H41" s="163"/>
      <c r="I41" s="163"/>
      <c r="J41" s="163"/>
      <c r="K41" s="163"/>
    </row>
    <row r="42" spans="2:11">
      <c r="B42" s="161"/>
      <c r="C42" s="161"/>
      <c r="D42" s="161"/>
      <c r="E42" s="162"/>
      <c r="F42" s="163"/>
      <c r="G42" s="163"/>
      <c r="H42" s="163"/>
      <c r="I42" s="163"/>
      <c r="J42" s="163"/>
      <c r="K42" s="163"/>
    </row>
    <row r="43" spans="2:11">
      <c r="B43" s="161"/>
      <c r="C43" s="161"/>
      <c r="D43" s="161"/>
      <c r="E43" s="162"/>
      <c r="F43" s="163"/>
      <c r="G43" s="163"/>
      <c r="H43" s="163"/>
      <c r="I43" s="163"/>
      <c r="J43" s="163"/>
      <c r="K43" s="163"/>
    </row>
    <row r="44" spans="2:11">
      <c r="B44" s="161"/>
      <c r="C44" s="161"/>
      <c r="D44" s="161"/>
      <c r="E44" s="162"/>
      <c r="F44" s="163"/>
      <c r="G44" s="163"/>
      <c r="H44" s="163"/>
      <c r="I44" s="163"/>
      <c r="J44" s="163"/>
      <c r="K44" s="163"/>
    </row>
    <row r="45" spans="2:11">
      <c r="B45" s="161"/>
      <c r="C45" s="161"/>
      <c r="D45" s="161"/>
      <c r="E45" s="162"/>
      <c r="F45" s="163"/>
      <c r="G45" s="163"/>
      <c r="H45" s="163"/>
      <c r="I45" s="163"/>
      <c r="J45" s="163"/>
      <c r="K45" s="163"/>
    </row>
    <row r="46" spans="2:11">
      <c r="B46" s="161"/>
      <c r="C46" s="161"/>
      <c r="D46" s="161"/>
      <c r="E46" s="162"/>
      <c r="F46" s="163"/>
      <c r="G46" s="163"/>
      <c r="H46" s="163"/>
      <c r="I46" s="163"/>
      <c r="J46" s="163"/>
      <c r="K46" s="163"/>
    </row>
    <row r="47" spans="2:11">
      <c r="B47" s="161"/>
      <c r="C47" s="161"/>
      <c r="D47" s="161"/>
      <c r="E47" s="162"/>
      <c r="F47" s="163"/>
      <c r="G47" s="163"/>
      <c r="H47" s="163"/>
      <c r="I47" s="163"/>
      <c r="J47" s="163"/>
      <c r="K47" s="163"/>
    </row>
    <row r="48" spans="2:11">
      <c r="B48" s="161"/>
      <c r="C48" s="161"/>
      <c r="D48" s="161"/>
      <c r="E48" s="162"/>
      <c r="F48" s="163"/>
      <c r="G48" s="163"/>
      <c r="H48" s="163"/>
      <c r="I48" s="163"/>
      <c r="J48" s="163"/>
      <c r="K48" s="163"/>
    </row>
    <row r="49" spans="2:11">
      <c r="B49" s="161"/>
      <c r="C49" s="161"/>
      <c r="D49" s="161"/>
      <c r="E49" s="162"/>
      <c r="F49" s="163"/>
      <c r="G49" s="163"/>
      <c r="H49" s="163"/>
      <c r="I49" s="163"/>
      <c r="J49" s="163"/>
      <c r="K49" s="163"/>
    </row>
    <row r="50" spans="2:11">
      <c r="B50" s="161"/>
      <c r="C50" s="161"/>
      <c r="D50" s="161"/>
      <c r="E50" s="162"/>
      <c r="F50" s="163"/>
      <c r="G50" s="163"/>
      <c r="H50" s="163"/>
      <c r="I50" s="163"/>
      <c r="J50" s="163"/>
      <c r="K50" s="163"/>
    </row>
    <row r="51" spans="2:11">
      <c r="B51" s="161"/>
      <c r="C51" s="161"/>
      <c r="D51" s="161"/>
      <c r="E51" s="162"/>
      <c r="F51" s="163"/>
      <c r="G51" s="163"/>
      <c r="H51" s="163"/>
      <c r="I51" s="163"/>
      <c r="J51" s="163"/>
      <c r="K51" s="163"/>
    </row>
    <row r="52" spans="2:11">
      <c r="B52" s="161"/>
      <c r="C52" s="161"/>
      <c r="D52" s="161"/>
      <c r="E52" s="162"/>
      <c r="F52" s="163"/>
      <c r="G52" s="163"/>
      <c r="H52" s="163"/>
      <c r="I52" s="163"/>
      <c r="J52" s="163"/>
      <c r="K52" s="163"/>
    </row>
  </sheetData>
  <mergeCells count="2">
    <mergeCell ref="B5:L5"/>
    <mergeCell ref="B7:L7"/>
  </mergeCells>
  <printOptions horizontalCentered="1"/>
  <pageMargins left="0.49" right="0.22" top="0.39370078740157499" bottom="0.39370078740157499" header="0" footer="0"/>
  <pageSetup paperSize="9" scale="88"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sheetPr>
  <dimension ref="A1:L156"/>
  <sheetViews>
    <sheetView showGridLines="0" view="pageBreakPreview" topLeftCell="A130" zoomScale="98" zoomScaleNormal="98" zoomScaleSheetLayoutView="98" zoomScalePageLayoutView="90" workbookViewId="0">
      <selection activeCell="I141" sqref="I141"/>
    </sheetView>
  </sheetViews>
  <sheetFormatPr defaultRowHeight="14.5"/>
  <cols>
    <col min="1" max="1" width="11.453125" customWidth="1"/>
    <col min="2" max="2" width="11.81640625" bestFit="1" customWidth="1"/>
    <col min="3" max="3" width="14.81640625" bestFit="1" customWidth="1"/>
    <col min="4" max="4" width="11.26953125" bestFit="1" customWidth="1"/>
    <col min="5" max="5" width="17.1796875" customWidth="1"/>
    <col min="6" max="6" width="15.453125" bestFit="1" customWidth="1"/>
    <col min="7" max="7" width="16.81640625" bestFit="1" customWidth="1"/>
    <col min="8" max="8" width="17" bestFit="1" customWidth="1"/>
  </cols>
  <sheetData>
    <row r="1" spans="1:12" ht="15.5">
      <c r="A1" s="1"/>
      <c r="B1" s="1"/>
      <c r="C1" s="1"/>
      <c r="D1" s="1"/>
      <c r="E1" s="1"/>
      <c r="F1" s="1"/>
      <c r="G1" s="1"/>
      <c r="H1" s="1"/>
    </row>
    <row r="2" spans="1:12" ht="17">
      <c r="A2" s="642" t="s">
        <v>263</v>
      </c>
      <c r="B2" s="643"/>
      <c r="C2" s="643"/>
      <c r="D2" s="643"/>
      <c r="E2" s="643"/>
      <c r="F2" s="643"/>
      <c r="G2" s="643"/>
      <c r="H2" s="644"/>
    </row>
    <row r="3" spans="1:12" ht="17">
      <c r="A3" s="7" t="s">
        <v>48</v>
      </c>
      <c r="B3" s="9"/>
      <c r="C3" s="9"/>
      <c r="D3" s="9"/>
      <c r="E3" s="9"/>
      <c r="F3" s="9"/>
      <c r="G3" s="9"/>
      <c r="H3" s="10" t="s">
        <v>31</v>
      </c>
    </row>
    <row r="4" spans="1:12" ht="17">
      <c r="A4" s="7" t="s">
        <v>52</v>
      </c>
      <c r="B4" s="9"/>
      <c r="C4" s="9"/>
      <c r="D4" s="9"/>
      <c r="E4" s="9"/>
      <c r="F4" s="9"/>
      <c r="G4" s="9"/>
      <c r="H4" s="10"/>
    </row>
    <row r="5" spans="1:12" ht="17">
      <c r="A5" s="7" t="s">
        <v>360</v>
      </c>
      <c r="B5" s="9"/>
      <c r="C5" s="9"/>
      <c r="D5" s="9"/>
      <c r="E5" s="9"/>
      <c r="F5" s="9"/>
      <c r="G5" s="9"/>
      <c r="H5" s="10"/>
    </row>
    <row r="6" spans="1:12" ht="17">
      <c r="A6" s="7" t="s">
        <v>140</v>
      </c>
      <c r="B6" s="9"/>
      <c r="C6" s="9"/>
      <c r="D6" s="9"/>
      <c r="E6" s="9"/>
      <c r="F6" s="9"/>
      <c r="G6" s="9"/>
      <c r="H6" s="10"/>
    </row>
    <row r="7" spans="1:12" ht="17">
      <c r="A7" s="7" t="s">
        <v>141</v>
      </c>
      <c r="B7" s="9"/>
      <c r="C7" s="9"/>
      <c r="D7" s="9"/>
      <c r="E7" s="9"/>
      <c r="F7" s="9"/>
      <c r="G7" s="9"/>
      <c r="H7" s="10"/>
      <c r="L7">
        <v>4200000</v>
      </c>
    </row>
    <row r="8" spans="1:12" ht="17">
      <c r="A8" s="7" t="s">
        <v>53</v>
      </c>
      <c r="B8" s="9"/>
      <c r="C8" s="9"/>
      <c r="D8" s="9"/>
      <c r="E8" s="9"/>
      <c r="F8" s="9"/>
      <c r="G8" s="9"/>
      <c r="H8" s="10"/>
      <c r="L8">
        <v>7200000</v>
      </c>
    </row>
    <row r="9" spans="1:12" ht="17">
      <c r="A9" s="7"/>
      <c r="B9" s="9"/>
      <c r="C9" s="9"/>
      <c r="D9" s="9"/>
      <c r="E9" s="9"/>
      <c r="F9" s="9"/>
      <c r="G9" s="9"/>
      <c r="H9" s="10"/>
      <c r="L9">
        <v>3000000</v>
      </c>
    </row>
    <row r="10" spans="1:12" ht="17">
      <c r="A10" s="7"/>
      <c r="B10" s="9"/>
      <c r="C10" s="9"/>
      <c r="D10" s="9" t="s">
        <v>54</v>
      </c>
      <c r="E10" s="9"/>
      <c r="F10" s="9"/>
      <c r="G10" s="9" t="s">
        <v>55</v>
      </c>
      <c r="H10" s="10" t="s">
        <v>0</v>
      </c>
      <c r="L10">
        <f>859524*7</f>
        <v>6016668</v>
      </c>
    </row>
    <row r="11" spans="1:12" ht="17">
      <c r="A11" s="7"/>
      <c r="B11" s="9"/>
      <c r="C11" s="94"/>
      <c r="D11" s="94"/>
      <c r="E11" s="94" t="s">
        <v>249</v>
      </c>
      <c r="F11" s="94"/>
      <c r="G11" s="95">
        <v>6</v>
      </c>
      <c r="H11" s="278">
        <f>+G11*24</f>
        <v>144</v>
      </c>
      <c r="L11">
        <f>859524*12</f>
        <v>10314288</v>
      </c>
    </row>
    <row r="12" spans="1:12" ht="17">
      <c r="A12" s="7"/>
      <c r="B12" s="9"/>
      <c r="C12" s="94"/>
      <c r="D12" s="94"/>
      <c r="E12" s="94" t="s">
        <v>250</v>
      </c>
      <c r="F12" s="94"/>
      <c r="G12" s="95">
        <f>+(495-144)/42</f>
        <v>8.3571428571428577</v>
      </c>
      <c r="H12" s="95">
        <f>+G12*42</f>
        <v>351</v>
      </c>
      <c r="J12">
        <v>8.5952380952380949</v>
      </c>
      <c r="L12">
        <v>8595240</v>
      </c>
    </row>
    <row r="13" spans="1:12" ht="17">
      <c r="A13" s="7"/>
      <c r="B13" s="9"/>
      <c r="C13" s="94"/>
      <c r="D13" s="94"/>
      <c r="E13" s="96"/>
      <c r="F13" s="96"/>
      <c r="G13" s="96"/>
      <c r="H13" s="295">
        <f>+SUM(H11:H12)</f>
        <v>495</v>
      </c>
      <c r="J13">
        <f>+J12/42</f>
        <v>0.20464852607709749</v>
      </c>
      <c r="K13">
        <v>8.9523809523809526</v>
      </c>
      <c r="L13">
        <f>859524*12</f>
        <v>10314288</v>
      </c>
    </row>
    <row r="14" spans="1:12" ht="17">
      <c r="A14" s="7"/>
      <c r="B14" s="9"/>
      <c r="C14" s="9"/>
      <c r="D14" s="9"/>
      <c r="E14" s="9"/>
      <c r="F14" s="9"/>
      <c r="G14" s="9"/>
      <c r="H14" s="10"/>
    </row>
    <row r="15" spans="1:12" ht="15.5">
      <c r="A15" s="11"/>
      <c r="B15" s="1"/>
      <c r="C15" s="1"/>
      <c r="D15" s="12" t="s">
        <v>15</v>
      </c>
      <c r="E15" s="22">
        <v>0.1</v>
      </c>
      <c r="F15" s="1"/>
      <c r="G15" s="1"/>
      <c r="H15" s="8" t="s">
        <v>13</v>
      </c>
      <c r="L15">
        <f>+SUM(L7:L13)</f>
        <v>49640484</v>
      </c>
    </row>
    <row r="16" spans="1:12" ht="31">
      <c r="A16" s="13" t="s">
        <v>1</v>
      </c>
      <c r="B16" s="13" t="s">
        <v>9</v>
      </c>
      <c r="C16" s="13" t="s">
        <v>29</v>
      </c>
      <c r="D16" s="13" t="s">
        <v>8</v>
      </c>
      <c r="E16" s="13" t="s">
        <v>14</v>
      </c>
      <c r="F16" s="13" t="s">
        <v>10</v>
      </c>
      <c r="G16" s="13" t="s">
        <v>11</v>
      </c>
      <c r="H16" s="13" t="s">
        <v>12</v>
      </c>
      <c r="L16">
        <v>50500000</v>
      </c>
    </row>
    <row r="17" spans="1:12" ht="15.5">
      <c r="A17" s="14" t="s">
        <v>22</v>
      </c>
      <c r="B17" s="15"/>
      <c r="C17" s="15"/>
      <c r="D17" s="16"/>
      <c r="E17" s="16"/>
      <c r="F17" s="16"/>
      <c r="G17" s="16"/>
      <c r="H17" s="16"/>
      <c r="L17">
        <f>+L16-L15</f>
        <v>859516</v>
      </c>
    </row>
    <row r="18" spans="1:12" ht="15.5">
      <c r="A18" s="37">
        <v>43922</v>
      </c>
      <c r="B18" s="15">
        <v>0</v>
      </c>
      <c r="C18" s="15">
        <v>0</v>
      </c>
      <c r="D18" s="16">
        <f t="shared" ref="D18:D29" si="0">(+B18+C18)*$E$15/12</f>
        <v>0</v>
      </c>
      <c r="E18" s="16">
        <f t="shared" ref="E18:E29" si="1">+F18+G18</f>
        <v>0</v>
      </c>
      <c r="F18" s="16">
        <f t="shared" ref="F18:F29" si="2">+D18</f>
        <v>0</v>
      </c>
      <c r="G18" s="16">
        <v>0</v>
      </c>
      <c r="H18" s="16">
        <f>+B18-G18+C18</f>
        <v>0</v>
      </c>
    </row>
    <row r="19" spans="1:12" ht="15.5">
      <c r="A19" s="37">
        <v>43952</v>
      </c>
      <c r="B19" s="15">
        <f>+H18</f>
        <v>0</v>
      </c>
      <c r="C19" s="15">
        <v>0</v>
      </c>
      <c r="D19" s="16">
        <f t="shared" si="0"/>
        <v>0</v>
      </c>
      <c r="E19" s="16">
        <f t="shared" si="1"/>
        <v>0</v>
      </c>
      <c r="F19" s="16">
        <f t="shared" si="2"/>
        <v>0</v>
      </c>
      <c r="G19" s="16">
        <v>0</v>
      </c>
      <c r="H19" s="16">
        <f>+B19-G19+C19</f>
        <v>0</v>
      </c>
    </row>
    <row r="20" spans="1:12" ht="15.5">
      <c r="A20" s="37">
        <v>43983</v>
      </c>
      <c r="B20" s="15">
        <f t="shared" ref="B20:B29" si="3">+H19</f>
        <v>0</v>
      </c>
      <c r="C20" s="15">
        <v>0</v>
      </c>
      <c r="D20" s="16">
        <f t="shared" si="0"/>
        <v>0</v>
      </c>
      <c r="E20" s="16">
        <f t="shared" si="1"/>
        <v>0</v>
      </c>
      <c r="F20" s="16">
        <f t="shared" si="2"/>
        <v>0</v>
      </c>
      <c r="G20" s="16">
        <v>0</v>
      </c>
      <c r="H20" s="16">
        <f>+B20-G20+C20</f>
        <v>0</v>
      </c>
    </row>
    <row r="21" spans="1:12" ht="15.5">
      <c r="A21" s="37">
        <v>44013</v>
      </c>
      <c r="B21" s="15">
        <f t="shared" si="3"/>
        <v>0</v>
      </c>
      <c r="C21" s="15">
        <v>0</v>
      </c>
      <c r="D21" s="16">
        <f t="shared" si="0"/>
        <v>0</v>
      </c>
      <c r="E21" s="16">
        <f t="shared" si="1"/>
        <v>0</v>
      </c>
      <c r="F21" s="16">
        <f t="shared" si="2"/>
        <v>0</v>
      </c>
      <c r="G21" s="16">
        <v>0</v>
      </c>
      <c r="H21" s="16">
        <f>+B21-G21</f>
        <v>0</v>
      </c>
    </row>
    <row r="22" spans="1:12" ht="15.5">
      <c r="A22" s="37">
        <v>44044</v>
      </c>
      <c r="B22" s="15">
        <f t="shared" si="3"/>
        <v>0</v>
      </c>
      <c r="C22" s="15">
        <v>0</v>
      </c>
      <c r="D22" s="16">
        <f t="shared" si="0"/>
        <v>0</v>
      </c>
      <c r="E22" s="16">
        <f t="shared" si="1"/>
        <v>0</v>
      </c>
      <c r="F22" s="16">
        <f t="shared" si="2"/>
        <v>0</v>
      </c>
      <c r="G22" s="16">
        <f>+G$21</f>
        <v>0</v>
      </c>
      <c r="H22" s="16">
        <f>+B22-G22</f>
        <v>0</v>
      </c>
    </row>
    <row r="23" spans="1:12" ht="15.5">
      <c r="A23" s="37">
        <v>44075</v>
      </c>
      <c r="B23" s="15">
        <f t="shared" si="3"/>
        <v>0</v>
      </c>
      <c r="C23" s="15">
        <v>0</v>
      </c>
      <c r="D23" s="16">
        <f t="shared" si="0"/>
        <v>0</v>
      </c>
      <c r="E23" s="16">
        <f t="shared" si="1"/>
        <v>0</v>
      </c>
      <c r="F23" s="16">
        <f t="shared" si="2"/>
        <v>0</v>
      </c>
      <c r="G23" s="16">
        <f t="shared" ref="G23:G29" si="4">+G$21</f>
        <v>0</v>
      </c>
      <c r="H23" s="16">
        <f>+B23-G23</f>
        <v>0</v>
      </c>
    </row>
    <row r="24" spans="1:12" ht="15.5">
      <c r="A24" s="37">
        <v>44105</v>
      </c>
      <c r="B24" s="15">
        <f t="shared" si="3"/>
        <v>0</v>
      </c>
      <c r="C24" s="15">
        <v>0</v>
      </c>
      <c r="D24" s="16">
        <f t="shared" si="0"/>
        <v>0</v>
      </c>
      <c r="E24" s="16">
        <f t="shared" si="1"/>
        <v>0</v>
      </c>
      <c r="F24" s="16">
        <f t="shared" si="2"/>
        <v>0</v>
      </c>
      <c r="G24" s="16">
        <f t="shared" si="4"/>
        <v>0</v>
      </c>
      <c r="H24" s="16">
        <f>+B24-G24</f>
        <v>0</v>
      </c>
    </row>
    <row r="25" spans="1:12" ht="15.5">
      <c r="A25" s="37">
        <v>44136</v>
      </c>
      <c r="B25" s="15">
        <f t="shared" si="3"/>
        <v>0</v>
      </c>
      <c r="C25" s="15">
        <v>0</v>
      </c>
      <c r="D25" s="16">
        <f t="shared" si="0"/>
        <v>0</v>
      </c>
      <c r="E25" s="16">
        <f t="shared" si="1"/>
        <v>0</v>
      </c>
      <c r="F25" s="16">
        <f t="shared" si="2"/>
        <v>0</v>
      </c>
      <c r="G25" s="16">
        <f t="shared" si="4"/>
        <v>0</v>
      </c>
      <c r="H25" s="16">
        <f>+B25-G25</f>
        <v>0</v>
      </c>
    </row>
    <row r="26" spans="1:12" ht="15.5">
      <c r="A26" s="37">
        <v>44166</v>
      </c>
      <c r="B26" s="15">
        <f t="shared" si="3"/>
        <v>0</v>
      </c>
      <c r="C26" s="15">
        <v>0</v>
      </c>
      <c r="D26" s="16">
        <f t="shared" si="0"/>
        <v>0</v>
      </c>
      <c r="E26" s="16">
        <f t="shared" si="1"/>
        <v>0</v>
      </c>
      <c r="F26" s="16">
        <f t="shared" si="2"/>
        <v>0</v>
      </c>
      <c r="G26" s="16">
        <f t="shared" si="4"/>
        <v>0</v>
      </c>
      <c r="H26" s="16">
        <f>+B26+C26-G26</f>
        <v>0</v>
      </c>
    </row>
    <row r="27" spans="1:12" ht="15.5">
      <c r="A27" s="37">
        <v>44197</v>
      </c>
      <c r="B27" s="15">
        <f t="shared" si="3"/>
        <v>0</v>
      </c>
      <c r="C27" s="15">
        <v>0</v>
      </c>
      <c r="D27" s="16">
        <f t="shared" si="0"/>
        <v>0</v>
      </c>
      <c r="E27" s="16">
        <f t="shared" si="1"/>
        <v>0</v>
      </c>
      <c r="F27" s="16">
        <f t="shared" si="2"/>
        <v>0</v>
      </c>
      <c r="G27" s="16">
        <f t="shared" si="4"/>
        <v>0</v>
      </c>
      <c r="H27" s="16">
        <f>+B27+C27-G27</f>
        <v>0</v>
      </c>
    </row>
    <row r="28" spans="1:12" ht="15.5">
      <c r="A28" s="37">
        <v>44228</v>
      </c>
      <c r="B28" s="15">
        <f t="shared" si="3"/>
        <v>0</v>
      </c>
      <c r="C28" s="15">
        <v>0</v>
      </c>
      <c r="D28" s="16">
        <f t="shared" si="0"/>
        <v>0</v>
      </c>
      <c r="E28" s="16">
        <f t="shared" si="1"/>
        <v>0</v>
      </c>
      <c r="F28" s="16">
        <f t="shared" si="2"/>
        <v>0</v>
      </c>
      <c r="G28" s="16">
        <f t="shared" si="4"/>
        <v>0</v>
      </c>
      <c r="H28" s="16">
        <f>+B28+C28-G28</f>
        <v>0</v>
      </c>
    </row>
    <row r="29" spans="1:12" ht="15.5">
      <c r="A29" s="37">
        <v>44256</v>
      </c>
      <c r="B29" s="15">
        <f t="shared" si="3"/>
        <v>0</v>
      </c>
      <c r="C29" s="15">
        <v>0</v>
      </c>
      <c r="D29" s="16">
        <f t="shared" si="0"/>
        <v>0</v>
      </c>
      <c r="E29" s="16">
        <f t="shared" si="1"/>
        <v>0</v>
      </c>
      <c r="F29" s="16">
        <f t="shared" si="2"/>
        <v>0</v>
      </c>
      <c r="G29" s="16">
        <f t="shared" si="4"/>
        <v>0</v>
      </c>
      <c r="H29" s="16">
        <f>+B29+C29-G29</f>
        <v>0</v>
      </c>
    </row>
    <row r="30" spans="1:12" ht="15.5">
      <c r="A30" s="38"/>
      <c r="B30" s="39"/>
      <c r="C30" s="39"/>
      <c r="D30" s="40">
        <f>+SUM(D18:D29)</f>
        <v>0</v>
      </c>
      <c r="E30" s="40">
        <f>+SUM(E18:E29)</f>
        <v>0</v>
      </c>
      <c r="F30" s="40">
        <f>+SUM(F18:F29)</f>
        <v>0</v>
      </c>
      <c r="G30" s="40">
        <f>+SUM(G18:G29)</f>
        <v>0</v>
      </c>
      <c r="H30" s="40"/>
    </row>
    <row r="31" spans="1:12" ht="15.5">
      <c r="A31" s="14" t="s">
        <v>23</v>
      </c>
      <c r="B31" s="15"/>
      <c r="C31" s="15"/>
      <c r="D31" s="16"/>
      <c r="E31" s="16"/>
      <c r="F31" s="16"/>
      <c r="G31" s="16"/>
      <c r="H31" s="16"/>
    </row>
    <row r="32" spans="1:12" ht="15.5">
      <c r="A32" s="37">
        <v>44287</v>
      </c>
      <c r="B32" s="15">
        <f>+H29</f>
        <v>0</v>
      </c>
      <c r="C32" s="15">
        <v>0</v>
      </c>
      <c r="D32" s="16">
        <f t="shared" ref="D32:D43" si="5">(+B32+C32)*$E$15/12</f>
        <v>0</v>
      </c>
      <c r="E32" s="16">
        <f t="shared" ref="E32:E43" si="6">+F32+G32</f>
        <v>0</v>
      </c>
      <c r="F32" s="16">
        <f t="shared" ref="F32:F43" si="7">+D32</f>
        <v>0</v>
      </c>
      <c r="G32" s="16">
        <f t="shared" ref="G32:G40" si="8">+G$21</f>
        <v>0</v>
      </c>
      <c r="H32" s="16">
        <f t="shared" ref="H32:H43" si="9">+B32+C32-G32</f>
        <v>0</v>
      </c>
    </row>
    <row r="33" spans="1:8" ht="15.5">
      <c r="A33" s="37">
        <v>44317</v>
      </c>
      <c r="B33" s="15">
        <f t="shared" ref="B33:B39" si="10">+H32</f>
        <v>0</v>
      </c>
      <c r="C33" s="15">
        <v>0</v>
      </c>
      <c r="D33" s="16">
        <f t="shared" si="5"/>
        <v>0</v>
      </c>
      <c r="E33" s="16">
        <f t="shared" si="6"/>
        <v>0</v>
      </c>
      <c r="F33" s="16">
        <f t="shared" si="7"/>
        <v>0</v>
      </c>
      <c r="G33" s="16">
        <f t="shared" si="8"/>
        <v>0</v>
      </c>
      <c r="H33" s="16">
        <f t="shared" si="9"/>
        <v>0</v>
      </c>
    </row>
    <row r="34" spans="1:8" ht="15.5">
      <c r="A34" s="37">
        <v>44348</v>
      </c>
      <c r="B34" s="15">
        <f t="shared" si="10"/>
        <v>0</v>
      </c>
      <c r="C34" s="15">
        <v>0</v>
      </c>
      <c r="D34" s="16">
        <f t="shared" si="5"/>
        <v>0</v>
      </c>
      <c r="E34" s="16">
        <f t="shared" si="6"/>
        <v>0</v>
      </c>
      <c r="F34" s="16">
        <f t="shared" si="7"/>
        <v>0</v>
      </c>
      <c r="G34" s="16">
        <f t="shared" si="8"/>
        <v>0</v>
      </c>
      <c r="H34" s="16">
        <f t="shared" si="9"/>
        <v>0</v>
      </c>
    </row>
    <row r="35" spans="1:8" ht="15.5">
      <c r="A35" s="37">
        <v>44378</v>
      </c>
      <c r="B35" s="15">
        <f t="shared" si="10"/>
        <v>0</v>
      </c>
      <c r="C35" s="15">
        <v>0</v>
      </c>
      <c r="D35" s="16">
        <f t="shared" si="5"/>
        <v>0</v>
      </c>
      <c r="E35" s="16">
        <f t="shared" si="6"/>
        <v>0</v>
      </c>
      <c r="F35" s="16">
        <f t="shared" si="7"/>
        <v>0</v>
      </c>
      <c r="G35" s="16">
        <f t="shared" si="8"/>
        <v>0</v>
      </c>
      <c r="H35" s="16">
        <f t="shared" si="9"/>
        <v>0</v>
      </c>
    </row>
    <row r="36" spans="1:8" ht="15.5">
      <c r="A36" s="37">
        <v>44409</v>
      </c>
      <c r="B36" s="15">
        <f t="shared" si="10"/>
        <v>0</v>
      </c>
      <c r="C36" s="15">
        <v>0</v>
      </c>
      <c r="D36" s="16">
        <f t="shared" si="5"/>
        <v>0</v>
      </c>
      <c r="E36" s="16">
        <f t="shared" si="6"/>
        <v>0</v>
      </c>
      <c r="F36" s="16">
        <f t="shared" si="7"/>
        <v>0</v>
      </c>
      <c r="G36" s="16">
        <f t="shared" si="8"/>
        <v>0</v>
      </c>
      <c r="H36" s="16">
        <f t="shared" si="9"/>
        <v>0</v>
      </c>
    </row>
    <row r="37" spans="1:8" ht="15.5">
      <c r="A37" s="37">
        <v>44440</v>
      </c>
      <c r="B37" s="15">
        <f t="shared" si="10"/>
        <v>0</v>
      </c>
      <c r="C37" s="15">
        <v>0</v>
      </c>
      <c r="D37" s="16">
        <f t="shared" si="5"/>
        <v>0</v>
      </c>
      <c r="E37" s="16">
        <f t="shared" si="6"/>
        <v>0</v>
      </c>
      <c r="F37" s="16">
        <f t="shared" si="7"/>
        <v>0</v>
      </c>
      <c r="G37" s="16">
        <f t="shared" si="8"/>
        <v>0</v>
      </c>
      <c r="H37" s="16">
        <f t="shared" si="9"/>
        <v>0</v>
      </c>
    </row>
    <row r="38" spans="1:8" ht="15.5">
      <c r="A38" s="37">
        <v>44470</v>
      </c>
      <c r="B38" s="15">
        <f t="shared" si="10"/>
        <v>0</v>
      </c>
      <c r="C38" s="15">
        <v>0</v>
      </c>
      <c r="D38" s="16">
        <f t="shared" si="5"/>
        <v>0</v>
      </c>
      <c r="E38" s="16">
        <f t="shared" si="6"/>
        <v>0</v>
      </c>
      <c r="F38" s="16">
        <f t="shared" si="7"/>
        <v>0</v>
      </c>
      <c r="G38" s="16">
        <f t="shared" si="8"/>
        <v>0</v>
      </c>
      <c r="H38" s="16">
        <f t="shared" si="9"/>
        <v>0</v>
      </c>
    </row>
    <row r="39" spans="1:8" ht="15.5">
      <c r="A39" s="37">
        <v>44501</v>
      </c>
      <c r="B39" s="15">
        <f t="shared" si="10"/>
        <v>0</v>
      </c>
      <c r="C39" s="15">
        <v>0</v>
      </c>
      <c r="D39" s="16">
        <f t="shared" si="5"/>
        <v>0</v>
      </c>
      <c r="E39" s="16">
        <f t="shared" si="6"/>
        <v>0</v>
      </c>
      <c r="F39" s="16">
        <f t="shared" si="7"/>
        <v>0</v>
      </c>
      <c r="G39" s="16">
        <f t="shared" si="8"/>
        <v>0</v>
      </c>
      <c r="H39" s="16">
        <f t="shared" si="9"/>
        <v>0</v>
      </c>
    </row>
    <row r="40" spans="1:8" ht="15.5">
      <c r="A40" s="37">
        <v>44531</v>
      </c>
      <c r="B40" s="15">
        <f t="shared" ref="B40:B51" si="11">+H39</f>
        <v>0</v>
      </c>
      <c r="C40" s="15">
        <v>0</v>
      </c>
      <c r="D40" s="16">
        <f t="shared" si="5"/>
        <v>0</v>
      </c>
      <c r="E40" s="16">
        <f t="shared" si="6"/>
        <v>0</v>
      </c>
      <c r="F40" s="16">
        <f t="shared" si="7"/>
        <v>0</v>
      </c>
      <c r="G40" s="16">
        <f t="shared" si="8"/>
        <v>0</v>
      </c>
      <c r="H40" s="16">
        <f t="shared" si="9"/>
        <v>0</v>
      </c>
    </row>
    <row r="41" spans="1:8" ht="15.5">
      <c r="A41" s="37">
        <v>44562</v>
      </c>
      <c r="B41" s="15">
        <f t="shared" si="11"/>
        <v>0</v>
      </c>
      <c r="C41" s="15">
        <v>0</v>
      </c>
      <c r="D41" s="16">
        <f t="shared" si="5"/>
        <v>0</v>
      </c>
      <c r="E41" s="16">
        <f t="shared" si="6"/>
        <v>0</v>
      </c>
      <c r="F41" s="16">
        <f t="shared" si="7"/>
        <v>0</v>
      </c>
      <c r="G41" s="16">
        <v>0</v>
      </c>
      <c r="H41" s="16">
        <f t="shared" si="9"/>
        <v>0</v>
      </c>
    </row>
    <row r="42" spans="1:8" ht="15.5">
      <c r="A42" s="37">
        <v>44593</v>
      </c>
      <c r="B42" s="15">
        <f t="shared" si="11"/>
        <v>0</v>
      </c>
      <c r="C42" s="15">
        <v>0</v>
      </c>
      <c r="D42" s="16">
        <f t="shared" si="5"/>
        <v>0</v>
      </c>
      <c r="E42" s="16">
        <f t="shared" si="6"/>
        <v>0</v>
      </c>
      <c r="F42" s="16">
        <f t="shared" si="7"/>
        <v>0</v>
      </c>
      <c r="G42" s="16">
        <v>0</v>
      </c>
      <c r="H42" s="16">
        <f t="shared" si="9"/>
        <v>0</v>
      </c>
    </row>
    <row r="43" spans="1:8" ht="15.5">
      <c r="A43" s="37">
        <v>44621</v>
      </c>
      <c r="B43" s="15">
        <f t="shared" si="11"/>
        <v>0</v>
      </c>
      <c r="C43" s="15">
        <v>0</v>
      </c>
      <c r="D43" s="16">
        <f t="shared" si="5"/>
        <v>0</v>
      </c>
      <c r="E43" s="16">
        <f t="shared" si="6"/>
        <v>0</v>
      </c>
      <c r="F43" s="16">
        <f t="shared" si="7"/>
        <v>0</v>
      </c>
      <c r="G43" s="16">
        <v>0</v>
      </c>
      <c r="H43" s="16">
        <f t="shared" si="9"/>
        <v>0</v>
      </c>
    </row>
    <row r="44" spans="1:8" ht="15.5">
      <c r="A44" s="38"/>
      <c r="B44" s="39"/>
      <c r="C44" s="39"/>
      <c r="D44" s="40">
        <f>+SUM(D32:D43)</f>
        <v>0</v>
      </c>
      <c r="E44" s="40">
        <f>+SUM(E32:E43)</f>
        <v>0</v>
      </c>
      <c r="F44" s="40">
        <f>+SUM(F32:F43)</f>
        <v>0</v>
      </c>
      <c r="G44" s="40">
        <f>+SUM(G32:G43)</f>
        <v>0</v>
      </c>
      <c r="H44" s="40"/>
    </row>
    <row r="45" spans="1:8" ht="15.5">
      <c r="A45" s="14" t="s">
        <v>24</v>
      </c>
      <c r="B45" s="15"/>
      <c r="C45" s="15"/>
      <c r="D45" s="16"/>
      <c r="E45" s="16"/>
      <c r="F45" s="16"/>
      <c r="G45" s="16"/>
      <c r="H45" s="16"/>
    </row>
    <row r="46" spans="1:8" ht="15.5">
      <c r="A46" s="37">
        <v>44652</v>
      </c>
      <c r="B46" s="15">
        <f>+H43</f>
        <v>0</v>
      </c>
      <c r="C46" s="15">
        <v>50</v>
      </c>
      <c r="D46" s="16">
        <f t="shared" ref="D46:D57" si="12">(+B46+C46)*$E$15/12</f>
        <v>0.41666666666666669</v>
      </c>
      <c r="E46" s="16">
        <f t="shared" ref="E46:E57" si="13">+F46+G46</f>
        <v>0.41666666666666669</v>
      </c>
      <c r="F46" s="16">
        <f t="shared" ref="F46:F57" si="14">+D46</f>
        <v>0.41666666666666669</v>
      </c>
      <c r="G46" s="16">
        <v>0</v>
      </c>
      <c r="H46" s="16">
        <f t="shared" ref="H46:H57" si="15">+B46+C46-G46</f>
        <v>50</v>
      </c>
    </row>
    <row r="47" spans="1:8" ht="15.5">
      <c r="A47" s="37">
        <v>44682</v>
      </c>
      <c r="B47" s="15">
        <f t="shared" si="11"/>
        <v>50</v>
      </c>
      <c r="C47" s="15">
        <v>50</v>
      </c>
      <c r="D47" s="16">
        <f t="shared" si="12"/>
        <v>0.83333333333333337</v>
      </c>
      <c r="E47" s="16">
        <f t="shared" si="13"/>
        <v>0.83333333333333337</v>
      </c>
      <c r="F47" s="16">
        <f t="shared" si="14"/>
        <v>0.83333333333333337</v>
      </c>
      <c r="G47" s="16">
        <v>0</v>
      </c>
      <c r="H47" s="16">
        <f t="shared" si="15"/>
        <v>100</v>
      </c>
    </row>
    <row r="48" spans="1:8" ht="15.5">
      <c r="A48" s="37">
        <v>44713</v>
      </c>
      <c r="B48" s="15">
        <f t="shared" si="11"/>
        <v>100</v>
      </c>
      <c r="C48" s="15">
        <v>50</v>
      </c>
      <c r="D48" s="16">
        <f t="shared" si="12"/>
        <v>1.25</v>
      </c>
      <c r="E48" s="16">
        <f t="shared" si="13"/>
        <v>1.25</v>
      </c>
      <c r="F48" s="16">
        <f t="shared" si="14"/>
        <v>1.25</v>
      </c>
      <c r="G48" s="16">
        <v>0</v>
      </c>
      <c r="H48" s="16">
        <f t="shared" si="15"/>
        <v>150</v>
      </c>
    </row>
    <row r="49" spans="1:8" ht="15.5">
      <c r="A49" s="37">
        <v>44743</v>
      </c>
      <c r="B49" s="15">
        <f t="shared" si="11"/>
        <v>150</v>
      </c>
      <c r="C49" s="15">
        <v>50</v>
      </c>
      <c r="D49" s="16">
        <f t="shared" si="12"/>
        <v>1.6666666666666667</v>
      </c>
      <c r="E49" s="16">
        <f t="shared" si="13"/>
        <v>1.6666666666666667</v>
      </c>
      <c r="F49" s="16">
        <f t="shared" si="14"/>
        <v>1.6666666666666667</v>
      </c>
      <c r="G49" s="16">
        <v>0</v>
      </c>
      <c r="H49" s="16">
        <f t="shared" si="15"/>
        <v>200</v>
      </c>
    </row>
    <row r="50" spans="1:8" ht="15.5">
      <c r="A50" s="37">
        <v>44774</v>
      </c>
      <c r="B50" s="15">
        <f t="shared" si="11"/>
        <v>200</v>
      </c>
      <c r="C50" s="15">
        <v>50</v>
      </c>
      <c r="D50" s="16">
        <f t="shared" si="12"/>
        <v>2.0833333333333335</v>
      </c>
      <c r="E50" s="16">
        <f t="shared" si="13"/>
        <v>2.0833333333333335</v>
      </c>
      <c r="F50" s="16">
        <f t="shared" si="14"/>
        <v>2.0833333333333335</v>
      </c>
      <c r="G50" s="16">
        <v>0</v>
      </c>
      <c r="H50" s="16">
        <f t="shared" si="15"/>
        <v>250</v>
      </c>
    </row>
    <row r="51" spans="1:8" ht="15.5">
      <c r="A51" s="37">
        <v>44805</v>
      </c>
      <c r="B51" s="15">
        <f t="shared" si="11"/>
        <v>250</v>
      </c>
      <c r="C51" s="15">
        <v>50</v>
      </c>
      <c r="D51" s="16">
        <f t="shared" si="12"/>
        <v>2.5</v>
      </c>
      <c r="E51" s="16">
        <f t="shared" si="13"/>
        <v>2.5</v>
      </c>
      <c r="F51" s="16">
        <f t="shared" si="14"/>
        <v>2.5</v>
      </c>
      <c r="G51" s="16">
        <v>0</v>
      </c>
      <c r="H51" s="16">
        <f t="shared" si="15"/>
        <v>300</v>
      </c>
    </row>
    <row r="52" spans="1:8" ht="15.5">
      <c r="A52" s="37">
        <v>44835</v>
      </c>
      <c r="B52" s="15">
        <f t="shared" ref="B52:B57" si="16">+H51</f>
        <v>300</v>
      </c>
      <c r="C52" s="15">
        <v>50</v>
      </c>
      <c r="D52" s="16">
        <f t="shared" si="12"/>
        <v>2.9166666666666665</v>
      </c>
      <c r="E52" s="16">
        <f t="shared" si="13"/>
        <v>2.9166666666666665</v>
      </c>
      <c r="F52" s="16">
        <f t="shared" si="14"/>
        <v>2.9166666666666665</v>
      </c>
      <c r="G52" s="16">
        <v>0</v>
      </c>
      <c r="H52" s="16">
        <f t="shared" si="15"/>
        <v>350</v>
      </c>
    </row>
    <row r="53" spans="1:8" ht="15.5">
      <c r="A53" s="37">
        <v>44866</v>
      </c>
      <c r="B53" s="15">
        <f t="shared" si="16"/>
        <v>350</v>
      </c>
      <c r="C53" s="15">
        <v>50</v>
      </c>
      <c r="D53" s="16">
        <f t="shared" si="12"/>
        <v>3.3333333333333335</v>
      </c>
      <c r="E53" s="16">
        <f t="shared" si="13"/>
        <v>3.3333333333333335</v>
      </c>
      <c r="F53" s="16">
        <f t="shared" si="14"/>
        <v>3.3333333333333335</v>
      </c>
      <c r="G53" s="16">
        <v>0</v>
      </c>
      <c r="H53" s="16">
        <f t="shared" si="15"/>
        <v>400</v>
      </c>
    </row>
    <row r="54" spans="1:8" ht="15.5">
      <c r="A54" s="37">
        <v>44896</v>
      </c>
      <c r="B54" s="15">
        <f t="shared" si="16"/>
        <v>400</v>
      </c>
      <c r="C54" s="15">
        <v>50</v>
      </c>
      <c r="D54" s="16">
        <f t="shared" si="12"/>
        <v>3.75</v>
      </c>
      <c r="E54" s="16">
        <f t="shared" si="13"/>
        <v>3.75</v>
      </c>
      <c r="F54" s="16">
        <f t="shared" si="14"/>
        <v>3.75</v>
      </c>
      <c r="G54" s="16">
        <v>0</v>
      </c>
      <c r="H54" s="16">
        <f t="shared" si="15"/>
        <v>450</v>
      </c>
    </row>
    <row r="55" spans="1:8" ht="15.5">
      <c r="A55" s="37">
        <v>44927</v>
      </c>
      <c r="B55" s="15">
        <f t="shared" si="16"/>
        <v>450</v>
      </c>
      <c r="C55" s="15">
        <v>45</v>
      </c>
      <c r="D55" s="16">
        <f t="shared" si="12"/>
        <v>4.125</v>
      </c>
      <c r="E55" s="16">
        <f t="shared" si="13"/>
        <v>4.125</v>
      </c>
      <c r="F55" s="16">
        <f t="shared" si="14"/>
        <v>4.125</v>
      </c>
      <c r="G55" s="16">
        <v>0</v>
      </c>
      <c r="H55" s="16">
        <f t="shared" si="15"/>
        <v>495</v>
      </c>
    </row>
    <row r="56" spans="1:8" ht="15.5">
      <c r="A56" s="37">
        <v>44958</v>
      </c>
      <c r="B56" s="15">
        <f t="shared" si="16"/>
        <v>495</v>
      </c>
      <c r="C56" s="15">
        <v>0</v>
      </c>
      <c r="D56" s="16">
        <f t="shared" si="12"/>
        <v>4.125</v>
      </c>
      <c r="E56" s="16">
        <f t="shared" si="13"/>
        <v>4.125</v>
      </c>
      <c r="F56" s="16">
        <f t="shared" si="14"/>
        <v>4.125</v>
      </c>
      <c r="G56" s="16">
        <v>0</v>
      </c>
      <c r="H56" s="16">
        <f t="shared" si="15"/>
        <v>495</v>
      </c>
    </row>
    <row r="57" spans="1:8" ht="15.5">
      <c r="A57" s="37">
        <v>44986</v>
      </c>
      <c r="B57" s="15">
        <f t="shared" si="16"/>
        <v>495</v>
      </c>
      <c r="C57" s="15">
        <v>0</v>
      </c>
      <c r="D57" s="16">
        <f t="shared" si="12"/>
        <v>4.125</v>
      </c>
      <c r="E57" s="16">
        <f t="shared" si="13"/>
        <v>4.125</v>
      </c>
      <c r="F57" s="16">
        <f t="shared" si="14"/>
        <v>4.125</v>
      </c>
      <c r="G57" s="16">
        <v>0</v>
      </c>
      <c r="H57" s="16">
        <f t="shared" si="15"/>
        <v>495</v>
      </c>
    </row>
    <row r="58" spans="1:8" ht="15.5">
      <c r="A58" s="38"/>
      <c r="B58" s="39"/>
      <c r="C58" s="39"/>
      <c r="D58" s="40">
        <f>SUM(D46:D57)</f>
        <v>31.125</v>
      </c>
      <c r="E58" s="40">
        <f>+SUM(E46:E57)</f>
        <v>31.125</v>
      </c>
      <c r="F58" s="40">
        <f>+SUM(F46:F57)</f>
        <v>31.125</v>
      </c>
      <c r="G58" s="40">
        <f>+SUM(G46:G57)</f>
        <v>0</v>
      </c>
      <c r="H58" s="40"/>
    </row>
    <row r="59" spans="1:8" ht="15.5">
      <c r="A59" s="14" t="s">
        <v>25</v>
      </c>
      <c r="B59" s="15"/>
      <c r="C59" s="15"/>
      <c r="D59" s="16"/>
      <c r="E59" s="16"/>
      <c r="F59" s="16"/>
      <c r="G59" s="16"/>
      <c r="H59" s="16"/>
    </row>
    <row r="60" spans="1:8" ht="15.5">
      <c r="A60" s="37">
        <v>45017</v>
      </c>
      <c r="B60" s="15">
        <f>+H57</f>
        <v>495</v>
      </c>
      <c r="C60" s="15">
        <v>0</v>
      </c>
      <c r="D60" s="16">
        <f t="shared" ref="D60:D71" si="17">(+B60+C60)*$E$15/12</f>
        <v>4.125</v>
      </c>
      <c r="E60" s="16">
        <f t="shared" ref="E60:E71" si="18">+F60+G60</f>
        <v>4.125</v>
      </c>
      <c r="F60" s="16">
        <f>+D60</f>
        <v>4.125</v>
      </c>
      <c r="G60" s="16">
        <v>0</v>
      </c>
      <c r="H60" s="16">
        <f t="shared" ref="H60:H71" si="19">+B60-G60</f>
        <v>495</v>
      </c>
    </row>
    <row r="61" spans="1:8" ht="15.5">
      <c r="A61" s="37">
        <v>45047</v>
      </c>
      <c r="B61" s="15">
        <f>+H60</f>
        <v>495</v>
      </c>
      <c r="C61" s="15">
        <v>0</v>
      </c>
      <c r="D61" s="16">
        <f t="shared" si="17"/>
        <v>4.125</v>
      </c>
      <c r="E61" s="16">
        <f t="shared" si="18"/>
        <v>4.125</v>
      </c>
      <c r="F61" s="16">
        <f>+D61</f>
        <v>4.125</v>
      </c>
      <c r="G61" s="16">
        <v>0</v>
      </c>
      <c r="H61" s="16">
        <f t="shared" si="19"/>
        <v>495</v>
      </c>
    </row>
    <row r="62" spans="1:8" ht="15.5">
      <c r="A62" s="37">
        <v>45078</v>
      </c>
      <c r="B62" s="15">
        <f t="shared" ref="B62:B71" si="20">+H61</f>
        <v>495</v>
      </c>
      <c r="C62" s="15">
        <v>0</v>
      </c>
      <c r="D62" s="16">
        <f t="shared" si="17"/>
        <v>4.125</v>
      </c>
      <c r="E62" s="16">
        <f t="shared" si="18"/>
        <v>4.125</v>
      </c>
      <c r="F62" s="16">
        <f t="shared" ref="F62:F71" si="21">+D62</f>
        <v>4.125</v>
      </c>
      <c r="G62" s="16">
        <v>0</v>
      </c>
      <c r="H62" s="16">
        <f>+B62-G62</f>
        <v>495</v>
      </c>
    </row>
    <row r="63" spans="1:8" ht="15.5">
      <c r="A63" s="37">
        <v>45108</v>
      </c>
      <c r="B63" s="15">
        <f t="shared" si="20"/>
        <v>495</v>
      </c>
      <c r="C63" s="15">
        <v>0</v>
      </c>
      <c r="D63" s="16">
        <f t="shared" si="17"/>
        <v>4.125</v>
      </c>
      <c r="E63" s="16">
        <f t="shared" si="18"/>
        <v>4.125</v>
      </c>
      <c r="F63" s="16">
        <f t="shared" si="21"/>
        <v>4.125</v>
      </c>
      <c r="G63" s="16">
        <v>0</v>
      </c>
      <c r="H63" s="16">
        <f t="shared" si="19"/>
        <v>495</v>
      </c>
    </row>
    <row r="64" spans="1:8" ht="15.5">
      <c r="A64" s="37">
        <v>45139</v>
      </c>
      <c r="B64" s="15">
        <f t="shared" si="20"/>
        <v>495</v>
      </c>
      <c r="C64" s="15">
        <v>0</v>
      </c>
      <c r="D64" s="16">
        <f t="shared" si="17"/>
        <v>4.125</v>
      </c>
      <c r="E64" s="16">
        <f t="shared" si="18"/>
        <v>4.125</v>
      </c>
      <c r="F64" s="16">
        <f t="shared" si="21"/>
        <v>4.125</v>
      </c>
      <c r="G64" s="16">
        <v>0</v>
      </c>
      <c r="H64" s="16">
        <f t="shared" si="19"/>
        <v>495</v>
      </c>
    </row>
    <row r="65" spans="1:8" ht="15.5">
      <c r="A65" s="37">
        <v>45170</v>
      </c>
      <c r="B65" s="15">
        <f t="shared" si="20"/>
        <v>495</v>
      </c>
      <c r="C65" s="15">
        <v>0</v>
      </c>
      <c r="D65" s="16">
        <f t="shared" si="17"/>
        <v>4.125</v>
      </c>
      <c r="E65" s="16">
        <f t="shared" si="18"/>
        <v>4.125</v>
      </c>
      <c r="F65" s="16">
        <f t="shared" si="21"/>
        <v>4.125</v>
      </c>
      <c r="G65" s="16">
        <v>0</v>
      </c>
      <c r="H65" s="16">
        <f t="shared" si="19"/>
        <v>495</v>
      </c>
    </row>
    <row r="66" spans="1:8" ht="15.5">
      <c r="A66" s="37">
        <v>45200</v>
      </c>
      <c r="B66" s="15">
        <f t="shared" si="20"/>
        <v>495</v>
      </c>
      <c r="C66" s="15">
        <v>0</v>
      </c>
      <c r="D66" s="16">
        <f t="shared" si="17"/>
        <v>4.125</v>
      </c>
      <c r="E66" s="16">
        <f t="shared" si="18"/>
        <v>4.125</v>
      </c>
      <c r="F66" s="16">
        <f t="shared" si="21"/>
        <v>4.125</v>
      </c>
      <c r="G66" s="16">
        <v>0</v>
      </c>
      <c r="H66" s="16">
        <f t="shared" si="19"/>
        <v>495</v>
      </c>
    </row>
    <row r="67" spans="1:8" ht="15.5">
      <c r="A67" s="37">
        <v>45231</v>
      </c>
      <c r="B67" s="15">
        <f t="shared" si="20"/>
        <v>495</v>
      </c>
      <c r="C67" s="15">
        <v>0</v>
      </c>
      <c r="D67" s="16">
        <f t="shared" si="17"/>
        <v>4.125</v>
      </c>
      <c r="E67" s="16">
        <f t="shared" si="18"/>
        <v>4.125</v>
      </c>
      <c r="F67" s="16">
        <f t="shared" si="21"/>
        <v>4.125</v>
      </c>
      <c r="G67" s="16">
        <v>0</v>
      </c>
      <c r="H67" s="16">
        <f t="shared" si="19"/>
        <v>495</v>
      </c>
    </row>
    <row r="68" spans="1:8" ht="15.5">
      <c r="A68" s="37">
        <v>45261</v>
      </c>
      <c r="B68" s="15">
        <f t="shared" si="20"/>
        <v>495</v>
      </c>
      <c r="C68" s="15">
        <v>0</v>
      </c>
      <c r="D68" s="16">
        <f t="shared" si="17"/>
        <v>4.125</v>
      </c>
      <c r="E68" s="16">
        <f t="shared" si="18"/>
        <v>4.125</v>
      </c>
      <c r="F68" s="16">
        <f t="shared" si="21"/>
        <v>4.125</v>
      </c>
      <c r="G68" s="16">
        <v>0</v>
      </c>
      <c r="H68" s="16">
        <f t="shared" si="19"/>
        <v>495</v>
      </c>
    </row>
    <row r="69" spans="1:8" ht="15.5">
      <c r="A69" s="37">
        <v>45292</v>
      </c>
      <c r="B69" s="15">
        <f t="shared" si="20"/>
        <v>495</v>
      </c>
      <c r="C69" s="15">
        <v>0</v>
      </c>
      <c r="D69" s="16">
        <f t="shared" si="17"/>
        <v>4.125</v>
      </c>
      <c r="E69" s="16">
        <f t="shared" si="18"/>
        <v>10.125</v>
      </c>
      <c r="F69" s="16">
        <f t="shared" si="21"/>
        <v>4.125</v>
      </c>
      <c r="G69" s="16">
        <f t="shared" ref="G69:G71" si="22">+$G$11</f>
        <v>6</v>
      </c>
      <c r="H69" s="16">
        <f t="shared" si="19"/>
        <v>489</v>
      </c>
    </row>
    <row r="70" spans="1:8" ht="15.5">
      <c r="A70" s="37">
        <v>45323</v>
      </c>
      <c r="B70" s="15">
        <f t="shared" si="20"/>
        <v>489</v>
      </c>
      <c r="C70" s="15">
        <v>0</v>
      </c>
      <c r="D70" s="16">
        <f t="shared" si="17"/>
        <v>4.0750000000000002</v>
      </c>
      <c r="E70" s="16">
        <f t="shared" si="18"/>
        <v>10.074999999999999</v>
      </c>
      <c r="F70" s="16">
        <f t="shared" si="21"/>
        <v>4.0750000000000002</v>
      </c>
      <c r="G70" s="16">
        <f t="shared" si="22"/>
        <v>6</v>
      </c>
      <c r="H70" s="16">
        <f t="shared" si="19"/>
        <v>483</v>
      </c>
    </row>
    <row r="71" spans="1:8" ht="15.5">
      <c r="A71" s="37">
        <v>45352</v>
      </c>
      <c r="B71" s="15">
        <f t="shared" si="20"/>
        <v>483</v>
      </c>
      <c r="C71" s="15">
        <v>0</v>
      </c>
      <c r="D71" s="16">
        <f t="shared" si="17"/>
        <v>4.0250000000000004</v>
      </c>
      <c r="E71" s="16">
        <f t="shared" si="18"/>
        <v>10.025</v>
      </c>
      <c r="F71" s="16">
        <f t="shared" si="21"/>
        <v>4.0250000000000004</v>
      </c>
      <c r="G71" s="16">
        <f t="shared" si="22"/>
        <v>6</v>
      </c>
      <c r="H71" s="16">
        <f t="shared" si="19"/>
        <v>477</v>
      </c>
    </row>
    <row r="72" spans="1:8" ht="15.5">
      <c r="A72" s="38"/>
      <c r="B72" s="39"/>
      <c r="C72" s="39"/>
      <c r="D72" s="40">
        <f>SUM(D60:D71)</f>
        <v>49.35</v>
      </c>
      <c r="E72" s="40">
        <f>SUM(E60:E71)</f>
        <v>67.350000000000009</v>
      </c>
      <c r="F72" s="40">
        <f>SUM(F60:F71)</f>
        <v>49.35</v>
      </c>
      <c r="G72" s="40">
        <f>SUM(G60:G71)</f>
        <v>18</v>
      </c>
      <c r="H72" s="40"/>
    </row>
    <row r="73" spans="1:8" ht="15.5">
      <c r="A73" s="14" t="s">
        <v>26</v>
      </c>
      <c r="B73" s="15"/>
      <c r="C73" s="15"/>
      <c r="D73" s="16"/>
      <c r="E73" s="16"/>
      <c r="F73" s="16"/>
      <c r="G73" s="16"/>
      <c r="H73" s="16"/>
    </row>
    <row r="74" spans="1:8" ht="15.5">
      <c r="A74" s="37">
        <v>45383</v>
      </c>
      <c r="B74" s="15">
        <f>+H71</f>
        <v>477</v>
      </c>
      <c r="C74" s="15">
        <v>0</v>
      </c>
      <c r="D74" s="16">
        <f>(+B74+C74)*$E$15/12</f>
        <v>3.9750000000000001</v>
      </c>
      <c r="E74" s="16">
        <f t="shared" ref="E74:E85" si="23">+F74+G74</f>
        <v>9.9749999999999996</v>
      </c>
      <c r="F74" s="16">
        <f>+D74</f>
        <v>3.9750000000000001</v>
      </c>
      <c r="G74" s="16">
        <f t="shared" ref="G74:G85" si="24">+$G$11</f>
        <v>6</v>
      </c>
      <c r="H74" s="16">
        <f t="shared" ref="H74:H85" si="25">+B74-G74</f>
        <v>471</v>
      </c>
    </row>
    <row r="75" spans="1:8" ht="15.5">
      <c r="A75" s="37">
        <v>45413</v>
      </c>
      <c r="B75" s="15">
        <f>+H74</f>
        <v>471</v>
      </c>
      <c r="C75" s="15">
        <v>0</v>
      </c>
      <c r="D75" s="16">
        <f>(+B75+C75)*$E$15/12</f>
        <v>3.9250000000000003</v>
      </c>
      <c r="E75" s="16">
        <f t="shared" si="23"/>
        <v>9.9250000000000007</v>
      </c>
      <c r="F75" s="16">
        <f>+D75</f>
        <v>3.9250000000000003</v>
      </c>
      <c r="G75" s="16">
        <f t="shared" si="24"/>
        <v>6</v>
      </c>
      <c r="H75" s="16">
        <f t="shared" si="25"/>
        <v>465</v>
      </c>
    </row>
    <row r="76" spans="1:8" ht="15.5">
      <c r="A76" s="37">
        <v>45444</v>
      </c>
      <c r="B76" s="15">
        <f t="shared" ref="B76:B84" si="26">+H75</f>
        <v>465</v>
      </c>
      <c r="C76" s="15">
        <v>0</v>
      </c>
      <c r="D76" s="16">
        <f t="shared" ref="D76:D85" si="27">(+B76+C76)*$E$15/12</f>
        <v>3.875</v>
      </c>
      <c r="E76" s="16">
        <f t="shared" si="23"/>
        <v>9.875</v>
      </c>
      <c r="F76" s="16">
        <f t="shared" ref="F76:F85" si="28">+D76</f>
        <v>3.875</v>
      </c>
      <c r="G76" s="16">
        <f t="shared" si="24"/>
        <v>6</v>
      </c>
      <c r="H76" s="16">
        <f t="shared" si="25"/>
        <v>459</v>
      </c>
    </row>
    <row r="77" spans="1:8" ht="15.5">
      <c r="A77" s="37">
        <v>45474</v>
      </c>
      <c r="B77" s="15">
        <f t="shared" si="26"/>
        <v>459</v>
      </c>
      <c r="C77" s="15">
        <v>0</v>
      </c>
      <c r="D77" s="16">
        <f t="shared" si="27"/>
        <v>3.8250000000000006</v>
      </c>
      <c r="E77" s="16">
        <f t="shared" si="23"/>
        <v>9.8250000000000011</v>
      </c>
      <c r="F77" s="16">
        <f t="shared" si="28"/>
        <v>3.8250000000000006</v>
      </c>
      <c r="G77" s="16">
        <f t="shared" si="24"/>
        <v>6</v>
      </c>
      <c r="H77" s="16">
        <f t="shared" si="25"/>
        <v>453</v>
      </c>
    </row>
    <row r="78" spans="1:8" ht="15.5">
      <c r="A78" s="37">
        <v>45505</v>
      </c>
      <c r="B78" s="15">
        <f t="shared" si="26"/>
        <v>453</v>
      </c>
      <c r="C78" s="15">
        <v>0</v>
      </c>
      <c r="D78" s="16">
        <f t="shared" si="27"/>
        <v>3.7750000000000004</v>
      </c>
      <c r="E78" s="16">
        <f t="shared" si="23"/>
        <v>9.7750000000000004</v>
      </c>
      <c r="F78" s="16">
        <f t="shared" si="28"/>
        <v>3.7750000000000004</v>
      </c>
      <c r="G78" s="16">
        <f t="shared" si="24"/>
        <v>6</v>
      </c>
      <c r="H78" s="16">
        <f t="shared" si="25"/>
        <v>447</v>
      </c>
    </row>
    <row r="79" spans="1:8" ht="15.5">
      <c r="A79" s="37">
        <v>45536</v>
      </c>
      <c r="B79" s="15">
        <f t="shared" si="26"/>
        <v>447</v>
      </c>
      <c r="C79" s="15">
        <v>0</v>
      </c>
      <c r="D79" s="16">
        <f t="shared" si="27"/>
        <v>3.7250000000000001</v>
      </c>
      <c r="E79" s="16">
        <f t="shared" si="23"/>
        <v>9.7249999999999996</v>
      </c>
      <c r="F79" s="16">
        <f t="shared" si="28"/>
        <v>3.7250000000000001</v>
      </c>
      <c r="G79" s="16">
        <f t="shared" si="24"/>
        <v>6</v>
      </c>
      <c r="H79" s="16">
        <f t="shared" si="25"/>
        <v>441</v>
      </c>
    </row>
    <row r="80" spans="1:8" ht="15.5">
      <c r="A80" s="37">
        <v>45566</v>
      </c>
      <c r="B80" s="15">
        <f t="shared" si="26"/>
        <v>441</v>
      </c>
      <c r="C80" s="15">
        <v>0</v>
      </c>
      <c r="D80" s="16">
        <f t="shared" si="27"/>
        <v>3.6750000000000003</v>
      </c>
      <c r="E80" s="16">
        <f t="shared" si="23"/>
        <v>9.6750000000000007</v>
      </c>
      <c r="F80" s="16">
        <f t="shared" si="28"/>
        <v>3.6750000000000003</v>
      </c>
      <c r="G80" s="16">
        <f t="shared" si="24"/>
        <v>6</v>
      </c>
      <c r="H80" s="16">
        <f t="shared" si="25"/>
        <v>435</v>
      </c>
    </row>
    <row r="81" spans="1:8" ht="15.5">
      <c r="A81" s="37">
        <v>45597</v>
      </c>
      <c r="B81" s="15">
        <f t="shared" si="26"/>
        <v>435</v>
      </c>
      <c r="C81" s="15">
        <v>0</v>
      </c>
      <c r="D81" s="16">
        <f t="shared" si="27"/>
        <v>3.625</v>
      </c>
      <c r="E81" s="16">
        <f t="shared" si="23"/>
        <v>9.625</v>
      </c>
      <c r="F81" s="16">
        <f t="shared" si="28"/>
        <v>3.625</v>
      </c>
      <c r="G81" s="16">
        <f t="shared" si="24"/>
        <v>6</v>
      </c>
      <c r="H81" s="16">
        <f t="shared" si="25"/>
        <v>429</v>
      </c>
    </row>
    <row r="82" spans="1:8" ht="15.5">
      <c r="A82" s="37">
        <v>45627</v>
      </c>
      <c r="B82" s="15">
        <f t="shared" si="26"/>
        <v>429</v>
      </c>
      <c r="C82" s="15">
        <v>0</v>
      </c>
      <c r="D82" s="16">
        <f t="shared" si="27"/>
        <v>3.5750000000000006</v>
      </c>
      <c r="E82" s="16">
        <f t="shared" si="23"/>
        <v>9.5750000000000011</v>
      </c>
      <c r="F82" s="16">
        <f t="shared" si="28"/>
        <v>3.5750000000000006</v>
      </c>
      <c r="G82" s="16">
        <f t="shared" si="24"/>
        <v>6</v>
      </c>
      <c r="H82" s="16">
        <f t="shared" si="25"/>
        <v>423</v>
      </c>
    </row>
    <row r="83" spans="1:8" ht="15.5">
      <c r="A83" s="37">
        <v>45658</v>
      </c>
      <c r="B83" s="15">
        <f t="shared" si="26"/>
        <v>423</v>
      </c>
      <c r="C83" s="15">
        <v>0</v>
      </c>
      <c r="D83" s="16">
        <f t="shared" si="27"/>
        <v>3.5250000000000004</v>
      </c>
      <c r="E83" s="16">
        <f t="shared" si="23"/>
        <v>9.5250000000000004</v>
      </c>
      <c r="F83" s="16">
        <f t="shared" si="28"/>
        <v>3.5250000000000004</v>
      </c>
      <c r="G83" s="16">
        <f t="shared" si="24"/>
        <v>6</v>
      </c>
      <c r="H83" s="16">
        <f t="shared" si="25"/>
        <v>417</v>
      </c>
    </row>
    <row r="84" spans="1:8" ht="15.5">
      <c r="A84" s="37">
        <v>45689</v>
      </c>
      <c r="B84" s="15">
        <f t="shared" si="26"/>
        <v>417</v>
      </c>
      <c r="C84" s="15">
        <v>0</v>
      </c>
      <c r="D84" s="16">
        <f t="shared" si="27"/>
        <v>3.4750000000000001</v>
      </c>
      <c r="E84" s="16">
        <f t="shared" si="23"/>
        <v>9.4749999999999996</v>
      </c>
      <c r="F84" s="16">
        <f t="shared" si="28"/>
        <v>3.4750000000000001</v>
      </c>
      <c r="G84" s="16">
        <f t="shared" si="24"/>
        <v>6</v>
      </c>
      <c r="H84" s="16">
        <f t="shared" si="25"/>
        <v>411</v>
      </c>
    </row>
    <row r="85" spans="1:8" ht="15.5">
      <c r="A85" s="37">
        <v>45717</v>
      </c>
      <c r="B85" s="15">
        <f>+H84</f>
        <v>411</v>
      </c>
      <c r="C85" s="15">
        <v>0</v>
      </c>
      <c r="D85" s="16">
        <f t="shared" si="27"/>
        <v>3.4250000000000003</v>
      </c>
      <c r="E85" s="16">
        <f t="shared" si="23"/>
        <v>9.4250000000000007</v>
      </c>
      <c r="F85" s="16">
        <f t="shared" si="28"/>
        <v>3.4250000000000003</v>
      </c>
      <c r="G85" s="16">
        <f t="shared" si="24"/>
        <v>6</v>
      </c>
      <c r="H85" s="16">
        <f t="shared" si="25"/>
        <v>405</v>
      </c>
    </row>
    <row r="86" spans="1:8" ht="15.5">
      <c r="A86" s="38"/>
      <c r="B86" s="39"/>
      <c r="C86" s="39"/>
      <c r="D86" s="40">
        <f>SUM(D74:D85)</f>
        <v>44.4</v>
      </c>
      <c r="E86" s="40">
        <f>SUM(E74:E85)</f>
        <v>116.4</v>
      </c>
      <c r="F86" s="40">
        <f>SUM(F74:F85)</f>
        <v>44.4</v>
      </c>
      <c r="G86" s="40">
        <f>SUM(G74:G85)</f>
        <v>72</v>
      </c>
      <c r="H86" s="40"/>
    </row>
    <row r="87" spans="1:8" ht="15.5">
      <c r="A87" s="14" t="s">
        <v>49</v>
      </c>
      <c r="B87" s="15"/>
      <c r="C87" s="15"/>
      <c r="D87" s="16"/>
      <c r="E87" s="16"/>
      <c r="F87" s="16"/>
      <c r="G87" s="16"/>
      <c r="H87" s="16"/>
    </row>
    <row r="88" spans="1:8" ht="15.5">
      <c r="A88" s="37">
        <v>45748</v>
      </c>
      <c r="B88" s="15">
        <f>+H85</f>
        <v>405</v>
      </c>
      <c r="C88" s="15">
        <v>0</v>
      </c>
      <c r="D88" s="16">
        <f>(+B88+C88)*$E$15/12</f>
        <v>3.375</v>
      </c>
      <c r="E88" s="16">
        <f t="shared" ref="E88:E99" si="29">+F88+G88</f>
        <v>9.375</v>
      </c>
      <c r="F88" s="16">
        <f>+D88</f>
        <v>3.375</v>
      </c>
      <c r="G88" s="16">
        <f t="shared" ref="G88:G96" si="30">+$G$11</f>
        <v>6</v>
      </c>
      <c r="H88" s="16">
        <f t="shared" ref="H88:H98" si="31">+B88-G88</f>
        <v>399</v>
      </c>
    </row>
    <row r="89" spans="1:8" ht="15.5">
      <c r="A89" s="37">
        <v>45778</v>
      </c>
      <c r="B89" s="15">
        <f>+H88</f>
        <v>399</v>
      </c>
      <c r="C89" s="15">
        <v>0</v>
      </c>
      <c r="D89" s="16">
        <f>(+B89+C89)*$E$15/12</f>
        <v>3.3250000000000006</v>
      </c>
      <c r="E89" s="16">
        <f t="shared" si="29"/>
        <v>9.3250000000000011</v>
      </c>
      <c r="F89" s="16">
        <f>+D89</f>
        <v>3.3250000000000006</v>
      </c>
      <c r="G89" s="16">
        <f t="shared" si="30"/>
        <v>6</v>
      </c>
      <c r="H89" s="16">
        <f t="shared" si="31"/>
        <v>393</v>
      </c>
    </row>
    <row r="90" spans="1:8" ht="15.5">
      <c r="A90" s="37">
        <v>45809</v>
      </c>
      <c r="B90" s="15">
        <f t="shared" ref="B90:B98" si="32">+H89</f>
        <v>393</v>
      </c>
      <c r="C90" s="15">
        <v>0</v>
      </c>
      <c r="D90" s="16">
        <f t="shared" ref="D90:D99" si="33">(+B90+C90)*$E$15/12</f>
        <v>3.2750000000000004</v>
      </c>
      <c r="E90" s="16">
        <f t="shared" si="29"/>
        <v>9.2750000000000004</v>
      </c>
      <c r="F90" s="16">
        <f t="shared" ref="F90:F99" si="34">+D90</f>
        <v>3.2750000000000004</v>
      </c>
      <c r="G90" s="16">
        <f t="shared" si="30"/>
        <v>6</v>
      </c>
      <c r="H90" s="16">
        <f t="shared" si="31"/>
        <v>387</v>
      </c>
    </row>
    <row r="91" spans="1:8" ht="15.5">
      <c r="A91" s="37">
        <v>45839</v>
      </c>
      <c r="B91" s="15">
        <f t="shared" si="32"/>
        <v>387</v>
      </c>
      <c r="C91" s="15">
        <v>0</v>
      </c>
      <c r="D91" s="16">
        <f t="shared" si="33"/>
        <v>3.2250000000000001</v>
      </c>
      <c r="E91" s="16">
        <f t="shared" si="29"/>
        <v>9.2249999999999996</v>
      </c>
      <c r="F91" s="16">
        <f t="shared" si="34"/>
        <v>3.2250000000000001</v>
      </c>
      <c r="G91" s="16">
        <f t="shared" si="30"/>
        <v>6</v>
      </c>
      <c r="H91" s="16">
        <f t="shared" si="31"/>
        <v>381</v>
      </c>
    </row>
    <row r="92" spans="1:8" ht="15.5">
      <c r="A92" s="37">
        <v>45870</v>
      </c>
      <c r="B92" s="15">
        <f t="shared" si="32"/>
        <v>381</v>
      </c>
      <c r="C92" s="15">
        <v>0</v>
      </c>
      <c r="D92" s="16">
        <f t="shared" si="33"/>
        <v>3.1750000000000003</v>
      </c>
      <c r="E92" s="16">
        <f t="shared" si="29"/>
        <v>9.1750000000000007</v>
      </c>
      <c r="F92" s="16">
        <f t="shared" si="34"/>
        <v>3.1750000000000003</v>
      </c>
      <c r="G92" s="16">
        <f t="shared" si="30"/>
        <v>6</v>
      </c>
      <c r="H92" s="16">
        <f t="shared" si="31"/>
        <v>375</v>
      </c>
    </row>
    <row r="93" spans="1:8" ht="15.5">
      <c r="A93" s="37">
        <v>45901</v>
      </c>
      <c r="B93" s="15">
        <f t="shared" si="32"/>
        <v>375</v>
      </c>
      <c r="C93" s="15">
        <v>0</v>
      </c>
      <c r="D93" s="16">
        <f t="shared" si="33"/>
        <v>3.125</v>
      </c>
      <c r="E93" s="16">
        <f t="shared" si="29"/>
        <v>9.125</v>
      </c>
      <c r="F93" s="16">
        <f t="shared" si="34"/>
        <v>3.125</v>
      </c>
      <c r="G93" s="16">
        <f t="shared" si="30"/>
        <v>6</v>
      </c>
      <c r="H93" s="16">
        <f t="shared" si="31"/>
        <v>369</v>
      </c>
    </row>
    <row r="94" spans="1:8" ht="15.5">
      <c r="A94" s="37">
        <v>45931</v>
      </c>
      <c r="B94" s="15">
        <f t="shared" si="32"/>
        <v>369</v>
      </c>
      <c r="C94" s="15">
        <v>0</v>
      </c>
      <c r="D94" s="16">
        <f t="shared" si="33"/>
        <v>3.0749999999999997</v>
      </c>
      <c r="E94" s="16">
        <f t="shared" si="29"/>
        <v>9.0749999999999993</v>
      </c>
      <c r="F94" s="16">
        <f t="shared" si="34"/>
        <v>3.0749999999999997</v>
      </c>
      <c r="G94" s="16">
        <f t="shared" si="30"/>
        <v>6</v>
      </c>
      <c r="H94" s="16">
        <f t="shared" si="31"/>
        <v>363</v>
      </c>
    </row>
    <row r="95" spans="1:8" ht="15.5">
      <c r="A95" s="37">
        <v>45962</v>
      </c>
      <c r="B95" s="15">
        <f t="shared" si="32"/>
        <v>363</v>
      </c>
      <c r="C95" s="15">
        <v>0</v>
      </c>
      <c r="D95" s="16">
        <f t="shared" si="33"/>
        <v>3.0250000000000004</v>
      </c>
      <c r="E95" s="16">
        <f t="shared" si="29"/>
        <v>9.0250000000000004</v>
      </c>
      <c r="F95" s="16">
        <f t="shared" si="34"/>
        <v>3.0250000000000004</v>
      </c>
      <c r="G95" s="16">
        <f t="shared" si="30"/>
        <v>6</v>
      </c>
      <c r="H95" s="16">
        <f t="shared" si="31"/>
        <v>357</v>
      </c>
    </row>
    <row r="96" spans="1:8" ht="15.5">
      <c r="A96" s="37">
        <v>45992</v>
      </c>
      <c r="B96" s="15">
        <f t="shared" si="32"/>
        <v>357</v>
      </c>
      <c r="C96" s="15">
        <v>0</v>
      </c>
      <c r="D96" s="16">
        <f t="shared" si="33"/>
        <v>2.9750000000000001</v>
      </c>
      <c r="E96" s="16">
        <f t="shared" si="29"/>
        <v>8.9749999999999996</v>
      </c>
      <c r="F96" s="16">
        <f t="shared" si="34"/>
        <v>2.9750000000000001</v>
      </c>
      <c r="G96" s="16">
        <f t="shared" si="30"/>
        <v>6</v>
      </c>
      <c r="H96" s="16">
        <f t="shared" si="31"/>
        <v>351</v>
      </c>
    </row>
    <row r="97" spans="1:8" ht="15.5">
      <c r="A97" s="37">
        <v>46023</v>
      </c>
      <c r="B97" s="15">
        <f t="shared" si="32"/>
        <v>351</v>
      </c>
      <c r="C97" s="15">
        <v>0</v>
      </c>
      <c r="D97" s="16">
        <f t="shared" si="33"/>
        <v>2.9250000000000003</v>
      </c>
      <c r="E97" s="16">
        <f t="shared" si="29"/>
        <v>11.282142857142858</v>
      </c>
      <c r="F97" s="16">
        <f t="shared" si="34"/>
        <v>2.9250000000000003</v>
      </c>
      <c r="G97" s="16">
        <f t="shared" ref="G97:G99" si="35">+$G$12</f>
        <v>8.3571428571428577</v>
      </c>
      <c r="H97" s="16">
        <f t="shared" si="31"/>
        <v>342.64285714285717</v>
      </c>
    </row>
    <row r="98" spans="1:8" ht="15.5">
      <c r="A98" s="37">
        <v>46054</v>
      </c>
      <c r="B98" s="15">
        <f t="shared" si="32"/>
        <v>342.64285714285717</v>
      </c>
      <c r="C98" s="15">
        <v>0</v>
      </c>
      <c r="D98" s="16">
        <f t="shared" si="33"/>
        <v>2.8553571428571431</v>
      </c>
      <c r="E98" s="16">
        <f t="shared" si="29"/>
        <v>11.2125</v>
      </c>
      <c r="F98" s="16">
        <f t="shared" si="34"/>
        <v>2.8553571428571431</v>
      </c>
      <c r="G98" s="16">
        <f t="shared" si="35"/>
        <v>8.3571428571428577</v>
      </c>
      <c r="H98" s="16">
        <f t="shared" si="31"/>
        <v>334.28571428571433</v>
      </c>
    </row>
    <row r="99" spans="1:8" ht="15.5">
      <c r="A99" s="37">
        <v>46082</v>
      </c>
      <c r="B99" s="15">
        <f>+H98</f>
        <v>334.28571428571433</v>
      </c>
      <c r="C99" s="15">
        <v>0</v>
      </c>
      <c r="D99" s="16">
        <f t="shared" si="33"/>
        <v>2.7857142857142865</v>
      </c>
      <c r="E99" s="16">
        <f t="shared" si="29"/>
        <v>11.142857142857144</v>
      </c>
      <c r="F99" s="16">
        <f t="shared" si="34"/>
        <v>2.7857142857142865</v>
      </c>
      <c r="G99" s="16">
        <f t="shared" si="35"/>
        <v>8.3571428571428577</v>
      </c>
      <c r="H99" s="16">
        <f>+B99-G99</f>
        <v>325.9285714285715</v>
      </c>
    </row>
    <row r="100" spans="1:8" ht="15.5">
      <c r="A100" s="38"/>
      <c r="B100" s="39"/>
      <c r="C100" s="39"/>
      <c r="D100" s="40">
        <f>SUM(D88:D99)</f>
        <v>37.141071428571429</v>
      </c>
      <c r="E100" s="40">
        <f>SUM(E88:E99)</f>
        <v>116.21250000000001</v>
      </c>
      <c r="F100" s="40">
        <f>SUM(F88:F99)</f>
        <v>37.141071428571429</v>
      </c>
      <c r="G100" s="40">
        <f>SUM(G88:G99)</f>
        <v>79.071428571428584</v>
      </c>
      <c r="H100" s="40"/>
    </row>
    <row r="101" spans="1:8" ht="15.5">
      <c r="A101" s="14" t="s">
        <v>56</v>
      </c>
      <c r="B101" s="15"/>
      <c r="C101" s="15"/>
      <c r="D101" s="16"/>
      <c r="E101" s="16"/>
      <c r="F101" s="16"/>
      <c r="G101" s="16"/>
      <c r="H101" s="16"/>
    </row>
    <row r="102" spans="1:8" ht="15.5">
      <c r="A102" s="37">
        <v>46113</v>
      </c>
      <c r="B102" s="15">
        <f>+H99</f>
        <v>325.9285714285715</v>
      </c>
      <c r="C102" s="15">
        <v>0</v>
      </c>
      <c r="D102" s="16">
        <f>(+B102+C102)*$E$15/12</f>
        <v>2.7160714285714289</v>
      </c>
      <c r="E102" s="16">
        <f t="shared" ref="E102:E113" si="36">+F102+G102</f>
        <v>11.073214285714286</v>
      </c>
      <c r="F102" s="16">
        <f>+D102</f>
        <v>2.7160714285714289</v>
      </c>
      <c r="G102" s="16">
        <f t="shared" ref="G102:G113" si="37">+$G$12</f>
        <v>8.3571428571428577</v>
      </c>
      <c r="H102" s="16">
        <f t="shared" ref="H102:H112" si="38">+B102-G102</f>
        <v>317.57142857142867</v>
      </c>
    </row>
    <row r="103" spans="1:8" ht="15.5">
      <c r="A103" s="37">
        <v>46143</v>
      </c>
      <c r="B103" s="15">
        <f>+H102</f>
        <v>317.57142857142867</v>
      </c>
      <c r="C103" s="15">
        <v>0</v>
      </c>
      <c r="D103" s="16">
        <f>(+B103+C103)*$E$15/12</f>
        <v>2.6464285714285722</v>
      </c>
      <c r="E103" s="16">
        <f t="shared" si="36"/>
        <v>11.00357142857143</v>
      </c>
      <c r="F103" s="16">
        <f>+D103</f>
        <v>2.6464285714285722</v>
      </c>
      <c r="G103" s="16">
        <f t="shared" si="37"/>
        <v>8.3571428571428577</v>
      </c>
      <c r="H103" s="16">
        <f t="shared" si="38"/>
        <v>309.21428571428584</v>
      </c>
    </row>
    <row r="104" spans="1:8" ht="15.5">
      <c r="A104" s="37">
        <v>46174</v>
      </c>
      <c r="B104" s="15">
        <f t="shared" ref="B104:B112" si="39">+H103</f>
        <v>309.21428571428584</v>
      </c>
      <c r="C104" s="15">
        <v>0</v>
      </c>
      <c r="D104" s="16">
        <f t="shared" ref="D104:D113" si="40">(+B104+C104)*$E$15/12</f>
        <v>2.5767857142857156</v>
      </c>
      <c r="E104" s="16">
        <f t="shared" si="36"/>
        <v>10.933928571428574</v>
      </c>
      <c r="F104" s="16">
        <f t="shared" ref="F104:F113" si="41">+D104</f>
        <v>2.5767857142857156</v>
      </c>
      <c r="G104" s="16">
        <f t="shared" si="37"/>
        <v>8.3571428571428577</v>
      </c>
      <c r="H104" s="16">
        <f t="shared" si="38"/>
        <v>300.857142857143</v>
      </c>
    </row>
    <row r="105" spans="1:8" ht="15.5">
      <c r="A105" s="37">
        <v>46204</v>
      </c>
      <c r="B105" s="15">
        <f t="shared" si="39"/>
        <v>300.857142857143</v>
      </c>
      <c r="C105" s="15">
        <v>0</v>
      </c>
      <c r="D105" s="16">
        <f t="shared" si="40"/>
        <v>2.5071428571428584</v>
      </c>
      <c r="E105" s="16">
        <f t="shared" si="36"/>
        <v>10.864285714285716</v>
      </c>
      <c r="F105" s="16">
        <f t="shared" si="41"/>
        <v>2.5071428571428584</v>
      </c>
      <c r="G105" s="16">
        <f t="shared" si="37"/>
        <v>8.3571428571428577</v>
      </c>
      <c r="H105" s="16">
        <f t="shared" si="38"/>
        <v>292.50000000000017</v>
      </c>
    </row>
    <row r="106" spans="1:8" ht="15.5">
      <c r="A106" s="37">
        <v>46235</v>
      </c>
      <c r="B106" s="15">
        <f t="shared" si="39"/>
        <v>292.50000000000017</v>
      </c>
      <c r="C106" s="15">
        <v>0</v>
      </c>
      <c r="D106" s="16">
        <f t="shared" si="40"/>
        <v>2.4375000000000013</v>
      </c>
      <c r="E106" s="16">
        <f t="shared" si="36"/>
        <v>10.794642857142859</v>
      </c>
      <c r="F106" s="16">
        <f t="shared" si="41"/>
        <v>2.4375000000000013</v>
      </c>
      <c r="G106" s="16">
        <f t="shared" si="37"/>
        <v>8.3571428571428577</v>
      </c>
      <c r="H106" s="16">
        <f t="shared" si="38"/>
        <v>284.14285714285734</v>
      </c>
    </row>
    <row r="107" spans="1:8" ht="15.5">
      <c r="A107" s="37">
        <v>46266</v>
      </c>
      <c r="B107" s="15">
        <f t="shared" si="39"/>
        <v>284.14285714285734</v>
      </c>
      <c r="C107" s="15">
        <v>0</v>
      </c>
      <c r="D107" s="16">
        <f t="shared" si="40"/>
        <v>2.3678571428571447</v>
      </c>
      <c r="E107" s="16">
        <f t="shared" si="36"/>
        <v>10.725000000000001</v>
      </c>
      <c r="F107" s="16">
        <f t="shared" si="41"/>
        <v>2.3678571428571447</v>
      </c>
      <c r="G107" s="16">
        <f t="shared" si="37"/>
        <v>8.3571428571428577</v>
      </c>
      <c r="H107" s="16">
        <f t="shared" si="38"/>
        <v>275.7857142857145</v>
      </c>
    </row>
    <row r="108" spans="1:8" ht="15.5">
      <c r="A108" s="37">
        <v>46296</v>
      </c>
      <c r="B108" s="15">
        <f t="shared" si="39"/>
        <v>275.7857142857145</v>
      </c>
      <c r="C108" s="15">
        <v>0</v>
      </c>
      <c r="D108" s="16">
        <f t="shared" si="40"/>
        <v>2.2982142857142875</v>
      </c>
      <c r="E108" s="16">
        <f t="shared" si="36"/>
        <v>10.655357142857145</v>
      </c>
      <c r="F108" s="16">
        <f t="shared" si="41"/>
        <v>2.2982142857142875</v>
      </c>
      <c r="G108" s="16">
        <f t="shared" si="37"/>
        <v>8.3571428571428577</v>
      </c>
      <c r="H108" s="16">
        <f t="shared" si="38"/>
        <v>267.42857142857167</v>
      </c>
    </row>
    <row r="109" spans="1:8" ht="15.5">
      <c r="A109" s="37">
        <v>46327</v>
      </c>
      <c r="B109" s="15">
        <f t="shared" si="39"/>
        <v>267.42857142857167</v>
      </c>
      <c r="C109" s="15">
        <v>0</v>
      </c>
      <c r="D109" s="16">
        <f t="shared" si="40"/>
        <v>2.2285714285714309</v>
      </c>
      <c r="E109" s="16">
        <f t="shared" si="36"/>
        <v>10.585714285714289</v>
      </c>
      <c r="F109" s="16">
        <f t="shared" si="41"/>
        <v>2.2285714285714309</v>
      </c>
      <c r="G109" s="16">
        <f t="shared" si="37"/>
        <v>8.3571428571428577</v>
      </c>
      <c r="H109" s="16">
        <f t="shared" si="38"/>
        <v>259.07142857142884</v>
      </c>
    </row>
    <row r="110" spans="1:8" ht="15.5">
      <c r="A110" s="37">
        <v>46357</v>
      </c>
      <c r="B110" s="15">
        <f t="shared" si="39"/>
        <v>259.07142857142884</v>
      </c>
      <c r="C110" s="15">
        <v>0</v>
      </c>
      <c r="D110" s="16">
        <f t="shared" si="40"/>
        <v>2.1589285714285738</v>
      </c>
      <c r="E110" s="16">
        <f t="shared" si="36"/>
        <v>10.516071428571431</v>
      </c>
      <c r="F110" s="16">
        <f t="shared" si="41"/>
        <v>2.1589285714285738</v>
      </c>
      <c r="G110" s="16">
        <f t="shared" si="37"/>
        <v>8.3571428571428577</v>
      </c>
      <c r="H110" s="16">
        <f t="shared" si="38"/>
        <v>250.71428571428598</v>
      </c>
    </row>
    <row r="111" spans="1:8" ht="15.5">
      <c r="A111" s="37">
        <v>46388</v>
      </c>
      <c r="B111" s="15">
        <f t="shared" si="39"/>
        <v>250.71428571428598</v>
      </c>
      <c r="C111" s="15">
        <v>0</v>
      </c>
      <c r="D111" s="16">
        <f t="shared" si="40"/>
        <v>2.0892857142857166</v>
      </c>
      <c r="E111" s="16">
        <f t="shared" si="36"/>
        <v>10.446428571428575</v>
      </c>
      <c r="F111" s="16">
        <f t="shared" si="41"/>
        <v>2.0892857142857166</v>
      </c>
      <c r="G111" s="16">
        <f t="shared" si="37"/>
        <v>8.3571428571428577</v>
      </c>
      <c r="H111" s="16">
        <f t="shared" si="38"/>
        <v>242.35714285714312</v>
      </c>
    </row>
    <row r="112" spans="1:8" ht="15.5">
      <c r="A112" s="37">
        <v>46419</v>
      </c>
      <c r="B112" s="15">
        <f t="shared" si="39"/>
        <v>242.35714285714312</v>
      </c>
      <c r="C112" s="15">
        <v>0</v>
      </c>
      <c r="D112" s="16">
        <f t="shared" si="40"/>
        <v>2.0196428571428595</v>
      </c>
      <c r="E112" s="16">
        <f t="shared" si="36"/>
        <v>10.376785714285717</v>
      </c>
      <c r="F112" s="16">
        <f t="shared" si="41"/>
        <v>2.0196428571428595</v>
      </c>
      <c r="G112" s="16">
        <f t="shared" si="37"/>
        <v>8.3571428571428577</v>
      </c>
      <c r="H112" s="16">
        <f t="shared" si="38"/>
        <v>234.00000000000026</v>
      </c>
    </row>
    <row r="113" spans="1:8" ht="15.5">
      <c r="A113" s="37">
        <v>46447</v>
      </c>
      <c r="B113" s="15">
        <f>+H112</f>
        <v>234.00000000000026</v>
      </c>
      <c r="C113" s="15">
        <v>0</v>
      </c>
      <c r="D113" s="16">
        <f t="shared" si="40"/>
        <v>1.9500000000000022</v>
      </c>
      <c r="E113" s="16">
        <f t="shared" si="36"/>
        <v>10.30714285714286</v>
      </c>
      <c r="F113" s="16">
        <f t="shared" si="41"/>
        <v>1.9500000000000022</v>
      </c>
      <c r="G113" s="16">
        <f t="shared" si="37"/>
        <v>8.3571428571428577</v>
      </c>
      <c r="H113" s="16">
        <f>+B113-G113</f>
        <v>225.64285714285739</v>
      </c>
    </row>
    <row r="114" spans="1:8" ht="15.5">
      <c r="A114" s="38"/>
      <c r="B114" s="39"/>
      <c r="C114" s="39"/>
      <c r="D114" s="40">
        <f>SUM(D102:D113)</f>
        <v>27.996428571428591</v>
      </c>
      <c r="E114" s="40">
        <f>SUM(E102:E113)</f>
        <v>128.28214285714287</v>
      </c>
      <c r="F114" s="40">
        <f>SUM(F102:F113)</f>
        <v>27.996428571428591</v>
      </c>
      <c r="G114" s="40">
        <f>SUM(G102:G113)</f>
        <v>100.28571428571432</v>
      </c>
      <c r="H114" s="40"/>
    </row>
    <row r="115" spans="1:8" ht="15.5">
      <c r="A115" s="14" t="s">
        <v>139</v>
      </c>
      <c r="B115" s="15"/>
      <c r="C115" s="15"/>
      <c r="D115" s="16"/>
      <c r="E115" s="16"/>
      <c r="F115" s="16"/>
      <c r="G115" s="16"/>
      <c r="H115" s="16"/>
    </row>
    <row r="116" spans="1:8" ht="15.5">
      <c r="A116" s="37">
        <v>46478</v>
      </c>
      <c r="B116" s="15">
        <f>+H113</f>
        <v>225.64285714285739</v>
      </c>
      <c r="C116" s="15">
        <v>0</v>
      </c>
      <c r="D116" s="16">
        <f>(+B116+C116)*$E$15/12</f>
        <v>1.8803571428571451</v>
      </c>
      <c r="E116" s="16">
        <f t="shared" ref="E116:E127" si="42">+F116+G116</f>
        <v>10.237500000000002</v>
      </c>
      <c r="F116" s="16">
        <f>+D116</f>
        <v>1.8803571428571451</v>
      </c>
      <c r="G116" s="16">
        <f t="shared" ref="G116:G127" si="43">+$G$12</f>
        <v>8.3571428571428577</v>
      </c>
      <c r="H116" s="16">
        <f t="shared" ref="H116:H126" si="44">+B116-G116</f>
        <v>217.28571428571453</v>
      </c>
    </row>
    <row r="117" spans="1:8" ht="15.5">
      <c r="A117" s="37">
        <v>46508</v>
      </c>
      <c r="B117" s="15">
        <f>+H116</f>
        <v>217.28571428571453</v>
      </c>
      <c r="C117" s="15">
        <v>0</v>
      </c>
      <c r="D117" s="16">
        <f>(+B117+C117)*$E$15/12</f>
        <v>1.8107142857142879</v>
      </c>
      <c r="E117" s="16">
        <f t="shared" si="42"/>
        <v>10.167857142857146</v>
      </c>
      <c r="F117" s="16">
        <f>+D117</f>
        <v>1.8107142857142879</v>
      </c>
      <c r="G117" s="16">
        <f t="shared" si="43"/>
        <v>8.3571428571428577</v>
      </c>
      <c r="H117" s="16">
        <f t="shared" si="44"/>
        <v>208.92857142857167</v>
      </c>
    </row>
    <row r="118" spans="1:8" ht="15.5">
      <c r="A118" s="37">
        <v>46539</v>
      </c>
      <c r="B118" s="15">
        <f t="shared" ref="B118:B126" si="45">+H117</f>
        <v>208.92857142857167</v>
      </c>
      <c r="C118" s="15">
        <v>0</v>
      </c>
      <c r="D118" s="16">
        <f t="shared" ref="D118:D127" si="46">(+B118+C118)*$E$15/12</f>
        <v>1.7410714285714306</v>
      </c>
      <c r="E118" s="16">
        <f t="shared" si="42"/>
        <v>10.098214285714288</v>
      </c>
      <c r="F118" s="16">
        <f t="shared" ref="F118:F127" si="47">+D118</f>
        <v>1.7410714285714306</v>
      </c>
      <c r="G118" s="16">
        <f t="shared" si="43"/>
        <v>8.3571428571428577</v>
      </c>
      <c r="H118" s="16">
        <f t="shared" si="44"/>
        <v>200.57142857142881</v>
      </c>
    </row>
    <row r="119" spans="1:8" ht="15.5">
      <c r="A119" s="37">
        <v>46569</v>
      </c>
      <c r="B119" s="15">
        <f t="shared" si="45"/>
        <v>200.57142857142881</v>
      </c>
      <c r="C119" s="15">
        <v>0</v>
      </c>
      <c r="D119" s="16">
        <f t="shared" si="46"/>
        <v>1.6714285714285735</v>
      </c>
      <c r="E119" s="16">
        <f t="shared" si="42"/>
        <v>10.028571428571432</v>
      </c>
      <c r="F119" s="16">
        <f t="shared" si="47"/>
        <v>1.6714285714285735</v>
      </c>
      <c r="G119" s="16">
        <f t="shared" si="43"/>
        <v>8.3571428571428577</v>
      </c>
      <c r="H119" s="16">
        <f t="shared" si="44"/>
        <v>192.21428571428595</v>
      </c>
    </row>
    <row r="120" spans="1:8" ht="15.5">
      <c r="A120" s="37">
        <v>46600</v>
      </c>
      <c r="B120" s="15">
        <f t="shared" si="45"/>
        <v>192.21428571428595</v>
      </c>
      <c r="C120" s="15">
        <v>0</v>
      </c>
      <c r="D120" s="16">
        <f t="shared" si="46"/>
        <v>1.6017857142857164</v>
      </c>
      <c r="E120" s="16">
        <f t="shared" si="42"/>
        <v>9.958928571428574</v>
      </c>
      <c r="F120" s="16">
        <f t="shared" si="47"/>
        <v>1.6017857142857164</v>
      </c>
      <c r="G120" s="16">
        <f t="shared" si="43"/>
        <v>8.3571428571428577</v>
      </c>
      <c r="H120" s="16">
        <f t="shared" si="44"/>
        <v>183.85714285714309</v>
      </c>
    </row>
    <row r="121" spans="1:8" ht="15.5">
      <c r="A121" s="37">
        <v>46631</v>
      </c>
      <c r="B121" s="15">
        <f t="shared" si="45"/>
        <v>183.85714285714309</v>
      </c>
      <c r="C121" s="15">
        <v>0</v>
      </c>
      <c r="D121" s="16">
        <f t="shared" si="46"/>
        <v>1.5321428571428592</v>
      </c>
      <c r="E121" s="16">
        <f t="shared" si="42"/>
        <v>9.889285714285716</v>
      </c>
      <c r="F121" s="16">
        <f t="shared" si="47"/>
        <v>1.5321428571428592</v>
      </c>
      <c r="G121" s="16">
        <f t="shared" si="43"/>
        <v>8.3571428571428577</v>
      </c>
      <c r="H121" s="16">
        <f t="shared" si="44"/>
        <v>175.50000000000023</v>
      </c>
    </row>
    <row r="122" spans="1:8" ht="15.5">
      <c r="A122" s="37">
        <v>46661</v>
      </c>
      <c r="B122" s="15">
        <f t="shared" si="45"/>
        <v>175.50000000000023</v>
      </c>
      <c r="C122" s="15">
        <v>0</v>
      </c>
      <c r="D122" s="16">
        <f t="shared" si="46"/>
        <v>1.4625000000000019</v>
      </c>
      <c r="E122" s="16">
        <f t="shared" si="42"/>
        <v>9.8196428571428598</v>
      </c>
      <c r="F122" s="16">
        <f t="shared" si="47"/>
        <v>1.4625000000000019</v>
      </c>
      <c r="G122" s="16">
        <f t="shared" si="43"/>
        <v>8.3571428571428577</v>
      </c>
      <c r="H122" s="16">
        <f t="shared" si="44"/>
        <v>167.14285714285737</v>
      </c>
    </row>
    <row r="123" spans="1:8" ht="15.5">
      <c r="A123" s="37">
        <v>46692</v>
      </c>
      <c r="B123" s="15">
        <f t="shared" si="45"/>
        <v>167.14285714285737</v>
      </c>
      <c r="C123" s="15">
        <v>0</v>
      </c>
      <c r="D123" s="16">
        <f t="shared" si="46"/>
        <v>1.3928571428571448</v>
      </c>
      <c r="E123" s="16">
        <f t="shared" si="42"/>
        <v>9.7500000000000018</v>
      </c>
      <c r="F123" s="16">
        <f t="shared" si="47"/>
        <v>1.3928571428571448</v>
      </c>
      <c r="G123" s="16">
        <f t="shared" si="43"/>
        <v>8.3571428571428577</v>
      </c>
      <c r="H123" s="16">
        <f t="shared" si="44"/>
        <v>158.7857142857145</v>
      </c>
    </row>
    <row r="124" spans="1:8" ht="15.5">
      <c r="A124" s="37">
        <v>46722</v>
      </c>
      <c r="B124" s="15">
        <f t="shared" si="45"/>
        <v>158.7857142857145</v>
      </c>
      <c r="C124" s="15">
        <v>0</v>
      </c>
      <c r="D124" s="16">
        <f t="shared" si="46"/>
        <v>1.3232142857142877</v>
      </c>
      <c r="E124" s="16">
        <f t="shared" si="42"/>
        <v>9.6803571428571455</v>
      </c>
      <c r="F124" s="16">
        <f t="shared" si="47"/>
        <v>1.3232142857142877</v>
      </c>
      <c r="G124" s="16">
        <f t="shared" si="43"/>
        <v>8.3571428571428577</v>
      </c>
      <c r="H124" s="16">
        <f t="shared" si="44"/>
        <v>150.42857142857164</v>
      </c>
    </row>
    <row r="125" spans="1:8" ht="15.5">
      <c r="A125" s="37">
        <v>46753</v>
      </c>
      <c r="B125" s="15">
        <f t="shared" si="45"/>
        <v>150.42857142857164</v>
      </c>
      <c r="C125" s="15">
        <v>0</v>
      </c>
      <c r="D125" s="16">
        <f t="shared" si="46"/>
        <v>1.2535714285714306</v>
      </c>
      <c r="E125" s="16">
        <f t="shared" si="42"/>
        <v>9.6107142857142875</v>
      </c>
      <c r="F125" s="16">
        <f t="shared" si="47"/>
        <v>1.2535714285714306</v>
      </c>
      <c r="G125" s="16">
        <f t="shared" si="43"/>
        <v>8.3571428571428577</v>
      </c>
      <c r="H125" s="16">
        <f t="shared" si="44"/>
        <v>142.07142857142878</v>
      </c>
    </row>
    <row r="126" spans="1:8" ht="15.5">
      <c r="A126" s="37">
        <v>46784</v>
      </c>
      <c r="B126" s="15">
        <f t="shared" si="45"/>
        <v>142.07142857142878</v>
      </c>
      <c r="C126" s="15">
        <v>0</v>
      </c>
      <c r="D126" s="16">
        <f t="shared" si="46"/>
        <v>1.1839285714285732</v>
      </c>
      <c r="E126" s="16">
        <f t="shared" si="42"/>
        <v>9.5410714285714313</v>
      </c>
      <c r="F126" s="16">
        <f t="shared" si="47"/>
        <v>1.1839285714285732</v>
      </c>
      <c r="G126" s="16">
        <f t="shared" si="43"/>
        <v>8.3571428571428577</v>
      </c>
      <c r="H126" s="16">
        <f t="shared" si="44"/>
        <v>133.71428571428592</v>
      </c>
    </row>
    <row r="127" spans="1:8" ht="15.5">
      <c r="A127" s="37">
        <v>46813</v>
      </c>
      <c r="B127" s="15">
        <f>+H126</f>
        <v>133.71428571428592</v>
      </c>
      <c r="C127" s="15">
        <v>0</v>
      </c>
      <c r="D127" s="16">
        <f t="shared" si="46"/>
        <v>1.1142857142857161</v>
      </c>
      <c r="E127" s="16">
        <f t="shared" si="42"/>
        <v>9.4714285714285733</v>
      </c>
      <c r="F127" s="16">
        <f t="shared" si="47"/>
        <v>1.1142857142857161</v>
      </c>
      <c r="G127" s="16">
        <f t="shared" si="43"/>
        <v>8.3571428571428577</v>
      </c>
      <c r="H127" s="16">
        <f>+B127-G127</f>
        <v>125.35714285714306</v>
      </c>
    </row>
    <row r="128" spans="1:8" ht="15.5">
      <c r="A128" s="38"/>
      <c r="B128" s="39"/>
      <c r="C128" s="39"/>
      <c r="D128" s="40">
        <f>SUM(D116:D127)</f>
        <v>17.967857142857167</v>
      </c>
      <c r="E128" s="40">
        <f>SUM(E116:E127)</f>
        <v>118.25357142857145</v>
      </c>
      <c r="F128" s="40">
        <f>SUM(F116:F127)</f>
        <v>17.967857142857167</v>
      </c>
      <c r="G128" s="40">
        <f>SUM(G116:G127)</f>
        <v>100.28571428571432</v>
      </c>
      <c r="H128" s="40"/>
    </row>
    <row r="129" spans="1:11" ht="15.5">
      <c r="A129" s="14" t="s">
        <v>224</v>
      </c>
      <c r="B129" s="15"/>
      <c r="C129" s="15"/>
      <c r="D129" s="16"/>
      <c r="E129" s="16"/>
      <c r="F129" s="16"/>
      <c r="G129" s="16"/>
      <c r="H129" s="16"/>
    </row>
    <row r="130" spans="1:11" ht="15.5">
      <c r="A130" s="37">
        <v>46844</v>
      </c>
      <c r="B130" s="15">
        <f>+H127</f>
        <v>125.35714285714306</v>
      </c>
      <c r="C130" s="15">
        <v>0</v>
      </c>
      <c r="D130" s="16">
        <f>(+B130+C130)*$E$15/12</f>
        <v>1.0446428571428588</v>
      </c>
      <c r="E130" s="16">
        <f t="shared" ref="E130:E141" si="48">+F130+G130</f>
        <v>9.4017857142857171</v>
      </c>
      <c r="F130" s="16">
        <f>+D130</f>
        <v>1.0446428571428588</v>
      </c>
      <c r="G130" s="16">
        <f t="shared" ref="G130:G141" si="49">+$G$12</f>
        <v>8.3571428571428577</v>
      </c>
      <c r="H130" s="16">
        <f t="shared" ref="H130:H140" si="50">+B130-G130</f>
        <v>117.0000000000002</v>
      </c>
    </row>
    <row r="131" spans="1:11" ht="15.5">
      <c r="A131" s="37">
        <v>46874</v>
      </c>
      <c r="B131" s="15">
        <f>+H130</f>
        <v>117.0000000000002</v>
      </c>
      <c r="C131" s="15">
        <v>0</v>
      </c>
      <c r="D131" s="16">
        <f>(+B131+C131)*$E$15/12</f>
        <v>0.97500000000000175</v>
      </c>
      <c r="E131" s="16">
        <f t="shared" si="48"/>
        <v>9.3321428571428591</v>
      </c>
      <c r="F131" s="16">
        <f>+D131</f>
        <v>0.97500000000000175</v>
      </c>
      <c r="G131" s="16">
        <f t="shared" si="49"/>
        <v>8.3571428571428577</v>
      </c>
      <c r="H131" s="16">
        <f t="shared" si="50"/>
        <v>108.64285714285734</v>
      </c>
    </row>
    <row r="132" spans="1:11" ht="15.5">
      <c r="A132" s="37">
        <v>46905</v>
      </c>
      <c r="B132" s="15">
        <f t="shared" ref="B132:B140" si="51">+H131</f>
        <v>108.64285714285734</v>
      </c>
      <c r="C132" s="15">
        <v>0</v>
      </c>
      <c r="D132" s="16">
        <f t="shared" ref="D132:D141" si="52">(+B132+C132)*$E$15/12</f>
        <v>0.90535714285714464</v>
      </c>
      <c r="E132" s="16">
        <f t="shared" si="48"/>
        <v>9.2625000000000028</v>
      </c>
      <c r="F132" s="16">
        <f t="shared" ref="F132:F141" si="53">+D132</f>
        <v>0.90535714285714464</v>
      </c>
      <c r="G132" s="16">
        <f t="shared" si="49"/>
        <v>8.3571428571428577</v>
      </c>
      <c r="H132" s="16">
        <f t="shared" si="50"/>
        <v>100.28571428571448</v>
      </c>
    </row>
    <row r="133" spans="1:11" ht="15.5">
      <c r="A133" s="37">
        <v>46935</v>
      </c>
      <c r="B133" s="15">
        <f t="shared" si="51"/>
        <v>100.28571428571448</v>
      </c>
      <c r="C133" s="15">
        <v>0</v>
      </c>
      <c r="D133" s="16">
        <f t="shared" si="52"/>
        <v>0.8357142857142873</v>
      </c>
      <c r="E133" s="16">
        <f t="shared" si="48"/>
        <v>9.1928571428571448</v>
      </c>
      <c r="F133" s="16">
        <f t="shared" si="53"/>
        <v>0.8357142857142873</v>
      </c>
      <c r="G133" s="16">
        <f t="shared" si="49"/>
        <v>8.3571428571428577</v>
      </c>
      <c r="H133" s="16">
        <f t="shared" si="50"/>
        <v>91.928571428571615</v>
      </c>
    </row>
    <row r="134" spans="1:11" ht="15.5">
      <c r="A134" s="37">
        <v>46966</v>
      </c>
      <c r="B134" s="15">
        <f t="shared" si="51"/>
        <v>91.928571428571615</v>
      </c>
      <c r="C134" s="15">
        <v>0</v>
      </c>
      <c r="D134" s="16">
        <f t="shared" si="52"/>
        <v>0.76607142857143018</v>
      </c>
      <c r="E134" s="16">
        <f t="shared" si="48"/>
        <v>9.1232142857142886</v>
      </c>
      <c r="F134" s="16">
        <f t="shared" si="53"/>
        <v>0.76607142857143018</v>
      </c>
      <c r="G134" s="16">
        <f t="shared" si="49"/>
        <v>8.3571428571428577</v>
      </c>
      <c r="H134" s="16">
        <f t="shared" si="50"/>
        <v>83.571428571428754</v>
      </c>
    </row>
    <row r="135" spans="1:11" ht="15.5">
      <c r="A135" s="37">
        <v>46997</v>
      </c>
      <c r="B135" s="15">
        <f t="shared" si="51"/>
        <v>83.571428571428754</v>
      </c>
      <c r="C135" s="15">
        <v>0</v>
      </c>
      <c r="D135" s="16">
        <f t="shared" si="52"/>
        <v>0.69642857142857295</v>
      </c>
      <c r="E135" s="16">
        <f t="shared" si="48"/>
        <v>9.0535714285714306</v>
      </c>
      <c r="F135" s="16">
        <f t="shared" si="53"/>
        <v>0.69642857142857295</v>
      </c>
      <c r="G135" s="16">
        <f t="shared" si="49"/>
        <v>8.3571428571428577</v>
      </c>
      <c r="H135" s="16">
        <f t="shared" si="50"/>
        <v>75.214285714285893</v>
      </c>
    </row>
    <row r="136" spans="1:11" ht="15.5">
      <c r="A136" s="37">
        <v>47027</v>
      </c>
      <c r="B136" s="15">
        <f t="shared" si="51"/>
        <v>75.214285714285893</v>
      </c>
      <c r="C136" s="15">
        <v>0</v>
      </c>
      <c r="D136" s="16">
        <f t="shared" si="52"/>
        <v>0.62678571428571583</v>
      </c>
      <c r="E136" s="16">
        <f t="shared" si="48"/>
        <v>8.9839285714285744</v>
      </c>
      <c r="F136" s="16">
        <f t="shared" si="53"/>
        <v>0.62678571428571583</v>
      </c>
      <c r="G136" s="16">
        <f t="shared" si="49"/>
        <v>8.3571428571428577</v>
      </c>
      <c r="H136" s="16">
        <f t="shared" si="50"/>
        <v>66.857142857143032</v>
      </c>
    </row>
    <row r="137" spans="1:11" ht="15.5">
      <c r="A137" s="37">
        <v>47058</v>
      </c>
      <c r="B137" s="15">
        <f t="shared" si="51"/>
        <v>66.857142857143032</v>
      </c>
      <c r="C137" s="15">
        <v>0</v>
      </c>
      <c r="D137" s="16">
        <f t="shared" si="52"/>
        <v>0.55714285714285861</v>
      </c>
      <c r="E137" s="16">
        <f t="shared" si="48"/>
        <v>8.9142857142857164</v>
      </c>
      <c r="F137" s="16">
        <f t="shared" si="53"/>
        <v>0.55714285714285861</v>
      </c>
      <c r="G137" s="16">
        <f t="shared" si="49"/>
        <v>8.3571428571428577</v>
      </c>
      <c r="H137" s="16">
        <f t="shared" si="50"/>
        <v>58.500000000000171</v>
      </c>
    </row>
    <row r="138" spans="1:11" ht="15.5">
      <c r="A138" s="37">
        <v>47088</v>
      </c>
      <c r="B138" s="15">
        <f t="shared" si="51"/>
        <v>58.500000000000171</v>
      </c>
      <c r="C138" s="15">
        <v>0</v>
      </c>
      <c r="D138" s="16">
        <f t="shared" si="52"/>
        <v>0.48750000000000143</v>
      </c>
      <c r="E138" s="16">
        <f t="shared" si="48"/>
        <v>8.8446428571428584</v>
      </c>
      <c r="F138" s="16">
        <f t="shared" si="53"/>
        <v>0.48750000000000143</v>
      </c>
      <c r="G138" s="16">
        <f t="shared" si="49"/>
        <v>8.3571428571428577</v>
      </c>
      <c r="H138" s="16">
        <f t="shared" si="50"/>
        <v>50.142857142857309</v>
      </c>
    </row>
    <row r="139" spans="1:11" ht="15.5">
      <c r="A139" s="37">
        <v>47119</v>
      </c>
      <c r="B139" s="15">
        <f t="shared" si="51"/>
        <v>50.142857142857309</v>
      </c>
      <c r="C139" s="15">
        <v>0</v>
      </c>
      <c r="D139" s="16">
        <f t="shared" si="52"/>
        <v>0.41785714285714426</v>
      </c>
      <c r="E139" s="16">
        <f t="shared" si="48"/>
        <v>8.7750000000000021</v>
      </c>
      <c r="F139" s="16">
        <f t="shared" si="53"/>
        <v>0.41785714285714426</v>
      </c>
      <c r="G139" s="16">
        <f t="shared" si="49"/>
        <v>8.3571428571428577</v>
      </c>
      <c r="H139" s="16">
        <f t="shared" si="50"/>
        <v>41.785714285714448</v>
      </c>
    </row>
    <row r="140" spans="1:11" ht="15.5">
      <c r="A140" s="37">
        <v>47150</v>
      </c>
      <c r="B140" s="15">
        <f t="shared" si="51"/>
        <v>41.785714285714448</v>
      </c>
      <c r="C140" s="15">
        <v>0</v>
      </c>
      <c r="D140" s="16">
        <f t="shared" si="52"/>
        <v>0.34821428571428709</v>
      </c>
      <c r="E140" s="16">
        <f t="shared" si="48"/>
        <v>8.7053571428571441</v>
      </c>
      <c r="F140" s="16">
        <f t="shared" si="53"/>
        <v>0.34821428571428709</v>
      </c>
      <c r="G140" s="16">
        <f t="shared" si="49"/>
        <v>8.3571428571428577</v>
      </c>
      <c r="H140" s="16">
        <f t="shared" si="50"/>
        <v>33.428571428571587</v>
      </c>
    </row>
    <row r="141" spans="1:11" ht="15.5">
      <c r="A141" s="37">
        <v>47178</v>
      </c>
      <c r="B141" s="15">
        <f>+H140</f>
        <v>33.428571428571587</v>
      </c>
      <c r="C141" s="15">
        <v>0</v>
      </c>
      <c r="D141" s="16">
        <f t="shared" si="52"/>
        <v>0.27857142857142991</v>
      </c>
      <c r="E141" s="16">
        <f t="shared" si="48"/>
        <v>8.6357142857142879</v>
      </c>
      <c r="F141" s="16">
        <f t="shared" si="53"/>
        <v>0.27857142857142991</v>
      </c>
      <c r="G141" s="16">
        <f t="shared" si="49"/>
        <v>8.3571428571428577</v>
      </c>
      <c r="H141" s="16">
        <f>+B141-G141</f>
        <v>25.071428571428729</v>
      </c>
    </row>
    <row r="142" spans="1:11" ht="15.5">
      <c r="A142" s="38"/>
      <c r="B142" s="39"/>
      <c r="C142" s="39"/>
      <c r="D142" s="40">
        <f>SUM(D130:D141)</f>
        <v>7.9392857142857336</v>
      </c>
      <c r="E142" s="40">
        <f>SUM(E130:E141)</f>
        <v>108.22500000000002</v>
      </c>
      <c r="F142" s="40">
        <f>SUM(F130:F141)</f>
        <v>7.9392857142857336</v>
      </c>
      <c r="G142" s="40">
        <f>SUM(G130:G141)</f>
        <v>100.28571428571432</v>
      </c>
      <c r="H142" s="40"/>
    </row>
    <row r="143" spans="1:11" ht="15.5">
      <c r="A143" s="14" t="s">
        <v>363</v>
      </c>
      <c r="B143" s="15"/>
      <c r="C143" s="15"/>
      <c r="D143" s="16"/>
      <c r="E143" s="16"/>
      <c r="F143" s="16"/>
      <c r="G143" s="16"/>
      <c r="H143" s="16"/>
    </row>
    <row r="144" spans="1:11" ht="15.5">
      <c r="A144" s="37">
        <v>47209</v>
      </c>
      <c r="B144" s="15">
        <f>+H141</f>
        <v>25.071428571428729</v>
      </c>
      <c r="C144" s="15">
        <v>0</v>
      </c>
      <c r="D144" s="16">
        <f>(+B144+C144)*$E$15/12</f>
        <v>0.20892857142857277</v>
      </c>
      <c r="E144" s="16">
        <f t="shared" ref="E144:E155" si="54">+F144+G144</f>
        <v>8.5660714285714299</v>
      </c>
      <c r="F144" s="16">
        <f>+D144</f>
        <v>0.20892857142857277</v>
      </c>
      <c r="G144" s="16">
        <f t="shared" ref="G144:G146" si="55">+$G$12</f>
        <v>8.3571428571428577</v>
      </c>
      <c r="H144" s="16">
        <f t="shared" ref="H144:H154" si="56">+B144-G144</f>
        <v>16.714285714285872</v>
      </c>
      <c r="K144">
        <v>3000000</v>
      </c>
    </row>
    <row r="145" spans="1:11" ht="15.5">
      <c r="A145" s="37">
        <v>47239</v>
      </c>
      <c r="B145" s="15">
        <f>+H144</f>
        <v>16.714285714285872</v>
      </c>
      <c r="C145" s="15">
        <v>0</v>
      </c>
      <c r="D145" s="16">
        <f>(+B145+C145)*$E$15/12</f>
        <v>0.13928571428571559</v>
      </c>
      <c r="E145" s="16">
        <f t="shared" si="54"/>
        <v>8.4964285714285737</v>
      </c>
      <c r="F145" s="16">
        <f>+D145</f>
        <v>0.13928571428571559</v>
      </c>
      <c r="G145" s="16">
        <f t="shared" si="55"/>
        <v>8.3571428571428577</v>
      </c>
      <c r="H145" s="16">
        <f t="shared" si="56"/>
        <v>8.357142857143014</v>
      </c>
      <c r="K145">
        <f>895238*7</f>
        <v>6266666</v>
      </c>
    </row>
    <row r="146" spans="1:11" ht="15.5">
      <c r="A146" s="37">
        <v>47270</v>
      </c>
      <c r="B146" s="15">
        <f t="shared" ref="B146:B154" si="57">+H145</f>
        <v>8.357142857143014</v>
      </c>
      <c r="C146" s="15">
        <v>0</v>
      </c>
      <c r="D146" s="16">
        <f t="shared" ref="D146:D155" si="58">(+B146+C146)*$E$15/12</f>
        <v>6.964285714285845E-2</v>
      </c>
      <c r="E146" s="16">
        <f t="shared" si="54"/>
        <v>8.4267857142857157</v>
      </c>
      <c r="F146" s="16">
        <f t="shared" ref="F146:F155" si="59">+D146</f>
        <v>6.964285714285845E-2</v>
      </c>
      <c r="G146" s="16">
        <f t="shared" si="55"/>
        <v>8.3571428571428577</v>
      </c>
      <c r="H146" s="16">
        <f t="shared" si="56"/>
        <v>1.5631940186722204E-13</v>
      </c>
    </row>
    <row r="147" spans="1:11" ht="15.5">
      <c r="A147" s="37">
        <v>47300</v>
      </c>
      <c r="B147" s="15">
        <f t="shared" si="57"/>
        <v>1.5631940186722204E-13</v>
      </c>
      <c r="C147" s="15">
        <v>0</v>
      </c>
      <c r="D147" s="16">
        <f t="shared" si="58"/>
        <v>1.3026616822268504E-15</v>
      </c>
      <c r="E147" s="16">
        <f t="shared" si="54"/>
        <v>1.3026616822268504E-15</v>
      </c>
      <c r="F147" s="16">
        <f t="shared" si="59"/>
        <v>1.3026616822268504E-15</v>
      </c>
      <c r="G147" s="16">
        <v>0</v>
      </c>
      <c r="H147" s="16">
        <f t="shared" si="56"/>
        <v>1.5631940186722204E-13</v>
      </c>
      <c r="K147">
        <f>+SUM(K144:K145)</f>
        <v>9266666</v>
      </c>
    </row>
    <row r="148" spans="1:11" ht="15.5">
      <c r="A148" s="37">
        <v>47331</v>
      </c>
      <c r="B148" s="15">
        <f t="shared" si="57"/>
        <v>1.5631940186722204E-13</v>
      </c>
      <c r="C148" s="15">
        <v>0</v>
      </c>
      <c r="D148" s="16">
        <f t="shared" si="58"/>
        <v>1.3026616822268504E-15</v>
      </c>
      <c r="E148" s="16">
        <f t="shared" si="54"/>
        <v>1.3026616822268504E-15</v>
      </c>
      <c r="F148" s="16">
        <f t="shared" si="59"/>
        <v>1.3026616822268504E-15</v>
      </c>
      <c r="G148" s="16">
        <v>0</v>
      </c>
      <c r="H148" s="16">
        <f t="shared" si="56"/>
        <v>1.5631940186722204E-13</v>
      </c>
      <c r="K148">
        <f>895238*12</f>
        <v>10742856</v>
      </c>
    </row>
    <row r="149" spans="1:11" ht="15.5">
      <c r="A149" s="37">
        <v>47362</v>
      </c>
      <c r="B149" s="15">
        <f t="shared" si="57"/>
        <v>1.5631940186722204E-13</v>
      </c>
      <c r="C149" s="15">
        <v>0</v>
      </c>
      <c r="D149" s="16">
        <f t="shared" si="58"/>
        <v>1.3026616822268504E-15</v>
      </c>
      <c r="E149" s="16">
        <f t="shared" si="54"/>
        <v>1.3026616822268504E-15</v>
      </c>
      <c r="F149" s="16">
        <f t="shared" si="59"/>
        <v>1.3026616822268504E-15</v>
      </c>
      <c r="G149" s="16">
        <v>0</v>
      </c>
      <c r="H149" s="16">
        <f t="shared" si="56"/>
        <v>1.5631940186722204E-13</v>
      </c>
      <c r="K149">
        <f>895238*12</f>
        <v>10742856</v>
      </c>
    </row>
    <row r="150" spans="1:11" ht="15.5">
      <c r="A150" s="37">
        <v>47392</v>
      </c>
      <c r="B150" s="15">
        <f t="shared" si="57"/>
        <v>1.5631940186722204E-13</v>
      </c>
      <c r="C150" s="15">
        <v>0</v>
      </c>
      <c r="D150" s="16">
        <f t="shared" si="58"/>
        <v>1.3026616822268504E-15</v>
      </c>
      <c r="E150" s="16">
        <f t="shared" si="54"/>
        <v>1.3026616822268504E-15</v>
      </c>
      <c r="F150" s="16">
        <f t="shared" si="59"/>
        <v>1.3026616822268504E-15</v>
      </c>
      <c r="G150" s="16">
        <v>0</v>
      </c>
      <c r="H150" s="16">
        <f t="shared" si="56"/>
        <v>1.5631940186722204E-13</v>
      </c>
      <c r="K150">
        <v>8952380</v>
      </c>
    </row>
    <row r="151" spans="1:11" ht="15.5">
      <c r="A151" s="37">
        <v>47423</v>
      </c>
      <c r="B151" s="15">
        <f t="shared" si="57"/>
        <v>1.5631940186722204E-13</v>
      </c>
      <c r="C151" s="15">
        <v>0</v>
      </c>
      <c r="D151" s="16">
        <f t="shared" si="58"/>
        <v>1.3026616822268504E-15</v>
      </c>
      <c r="E151" s="16">
        <f t="shared" si="54"/>
        <v>1.3026616822268504E-15</v>
      </c>
      <c r="F151" s="16">
        <f t="shared" si="59"/>
        <v>1.3026616822268504E-15</v>
      </c>
      <c r="G151" s="16">
        <v>0</v>
      </c>
      <c r="H151" s="16">
        <f t="shared" si="56"/>
        <v>1.5631940186722204E-13</v>
      </c>
      <c r="K151">
        <v>4200000</v>
      </c>
    </row>
    <row r="152" spans="1:11" ht="15.5">
      <c r="A152" s="37">
        <v>47453</v>
      </c>
      <c r="B152" s="15">
        <f t="shared" si="57"/>
        <v>1.5631940186722204E-13</v>
      </c>
      <c r="C152" s="15">
        <v>0</v>
      </c>
      <c r="D152" s="16">
        <f t="shared" si="58"/>
        <v>1.3026616822268504E-15</v>
      </c>
      <c r="E152" s="16">
        <f t="shared" si="54"/>
        <v>1.3026616822268504E-15</v>
      </c>
      <c r="F152" s="16">
        <f t="shared" si="59"/>
        <v>1.3026616822268504E-15</v>
      </c>
      <c r="G152" s="16">
        <v>0</v>
      </c>
      <c r="H152" s="16">
        <f t="shared" si="56"/>
        <v>1.5631940186722204E-13</v>
      </c>
      <c r="K152">
        <v>7200000</v>
      </c>
    </row>
    <row r="153" spans="1:11" ht="15.5">
      <c r="A153" s="37">
        <v>47484</v>
      </c>
      <c r="B153" s="15">
        <f t="shared" si="57"/>
        <v>1.5631940186722204E-13</v>
      </c>
      <c r="C153" s="15">
        <v>0</v>
      </c>
      <c r="D153" s="16">
        <f t="shared" si="58"/>
        <v>1.3026616822268504E-15</v>
      </c>
      <c r="E153" s="16">
        <f t="shared" si="54"/>
        <v>1.3026616822268504E-15</v>
      </c>
      <c r="F153" s="16">
        <f t="shared" si="59"/>
        <v>1.3026616822268504E-15</v>
      </c>
      <c r="G153" s="16">
        <v>0</v>
      </c>
      <c r="H153" s="16">
        <f t="shared" si="56"/>
        <v>1.5631940186722204E-13</v>
      </c>
      <c r="K153">
        <f>+SUM(K147:K152)</f>
        <v>51104758</v>
      </c>
    </row>
    <row r="154" spans="1:11" ht="15.5">
      <c r="A154" s="37">
        <v>47515</v>
      </c>
      <c r="B154" s="15">
        <f t="shared" si="57"/>
        <v>1.5631940186722204E-13</v>
      </c>
      <c r="C154" s="15">
        <v>0</v>
      </c>
      <c r="D154" s="16">
        <f t="shared" si="58"/>
        <v>1.3026616822268504E-15</v>
      </c>
      <c r="E154" s="16">
        <f t="shared" si="54"/>
        <v>1.3026616822268504E-15</v>
      </c>
      <c r="F154" s="16">
        <f t="shared" si="59"/>
        <v>1.3026616822268504E-15</v>
      </c>
      <c r="G154" s="16">
        <v>0</v>
      </c>
      <c r="H154" s="16">
        <f t="shared" si="56"/>
        <v>1.5631940186722204E-13</v>
      </c>
      <c r="K154">
        <v>52000000</v>
      </c>
    </row>
    <row r="155" spans="1:11" ht="15.5">
      <c r="A155" s="37">
        <v>47543</v>
      </c>
      <c r="B155" s="15">
        <f>+H154</f>
        <v>1.5631940186722204E-13</v>
      </c>
      <c r="C155" s="15">
        <v>0</v>
      </c>
      <c r="D155" s="16">
        <f t="shared" si="58"/>
        <v>1.3026616822268504E-15</v>
      </c>
      <c r="E155" s="16">
        <f t="shared" si="54"/>
        <v>1.3026616822268504E-15</v>
      </c>
      <c r="F155" s="16">
        <f t="shared" si="59"/>
        <v>1.3026616822268504E-15</v>
      </c>
      <c r="G155" s="16">
        <v>0</v>
      </c>
      <c r="H155" s="16">
        <f>+B155-G155</f>
        <v>1.5631940186722204E-13</v>
      </c>
      <c r="K155">
        <f>+K154-K153</f>
        <v>895242</v>
      </c>
    </row>
    <row r="156" spans="1:11" ht="15.5">
      <c r="A156" s="38"/>
      <c r="B156" s="39"/>
      <c r="C156" s="39"/>
      <c r="D156" s="40">
        <f>SUM(D144:D155)</f>
        <v>0.4178571428571583</v>
      </c>
      <c r="E156" s="40">
        <f>SUM(E144:E155)</f>
        <v>25.489285714285721</v>
      </c>
      <c r="F156" s="40">
        <f>SUM(F144:F155)</f>
        <v>0.4178571428571583</v>
      </c>
      <c r="G156" s="40">
        <f>SUM(G144:G155)</f>
        <v>25.071428571428573</v>
      </c>
      <c r="H156" s="40"/>
    </row>
  </sheetData>
  <mergeCells count="1">
    <mergeCell ref="A2:H2"/>
  </mergeCells>
  <pageMargins left="0.7" right="0.7" top="0.75" bottom="0.75" header="0.3" footer="0.3"/>
  <pageSetup scale="73" orientation="landscape" r:id="rId1"/>
  <headerFooter>
    <oddHeader>&amp;C&amp;"Book Antiqua,Bold"&amp;13</oddHeader>
    <oddFooter>&amp;C&amp;"-,Bold"&amp;12Prepared by JNR Corporate Advisory Services Private Limited, Contact details: jnr4india@gmail.com, +918602267779, +918962611446</oddFooter>
  </headerFooter>
  <rowBreaks count="4" manualBreakCount="4">
    <brk id="30" max="7" man="1"/>
    <brk id="58" max="7" man="1"/>
    <brk id="86" max="7" man="1"/>
    <brk id="114"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I26"/>
  <sheetViews>
    <sheetView showGridLines="0" view="pageBreakPreview" zoomScaleSheetLayoutView="100" workbookViewId="0">
      <selection activeCell="H27" sqref="H27"/>
    </sheetView>
  </sheetViews>
  <sheetFormatPr defaultRowHeight="14.5"/>
  <cols>
    <col min="1" max="1" width="44" customWidth="1"/>
    <col min="3" max="3" width="10.81640625" customWidth="1"/>
  </cols>
  <sheetData>
    <row r="1" spans="1:9" ht="18.5">
      <c r="A1" s="645" t="s">
        <v>380</v>
      </c>
      <c r="B1" s="645"/>
      <c r="C1" s="645"/>
      <c r="D1" s="645"/>
      <c r="E1" s="645"/>
      <c r="F1" s="645"/>
      <c r="G1" s="645"/>
      <c r="H1" s="645"/>
      <c r="I1" s="645"/>
    </row>
    <row r="2" spans="1:9" ht="15.5">
      <c r="A2" s="646" t="s">
        <v>286</v>
      </c>
      <c r="B2" s="646"/>
      <c r="C2" s="646"/>
      <c r="D2" s="646"/>
      <c r="E2" s="646"/>
      <c r="F2" s="646"/>
      <c r="G2" s="646"/>
      <c r="H2" s="646"/>
      <c r="I2" s="646"/>
    </row>
    <row r="3" spans="1:9" ht="15.5">
      <c r="A3" s="321" t="s">
        <v>1</v>
      </c>
      <c r="B3" s="321" t="s">
        <v>21</v>
      </c>
      <c r="C3" s="321" t="s">
        <v>27</v>
      </c>
      <c r="D3" s="321" t="s">
        <v>28</v>
      </c>
      <c r="E3" s="321" t="s">
        <v>57</v>
      </c>
      <c r="F3" s="321" t="s">
        <v>138</v>
      </c>
      <c r="G3" s="321" t="s">
        <v>225</v>
      </c>
      <c r="H3" s="321" t="s">
        <v>729</v>
      </c>
      <c r="I3" s="321" t="s">
        <v>730</v>
      </c>
    </row>
    <row r="4" spans="1:9" ht="15.5">
      <c r="A4" s="310" t="s">
        <v>287</v>
      </c>
      <c r="B4" s="311">
        <f>+'Project PL '!D8</f>
        <v>687.33361086956529</v>
      </c>
      <c r="C4" s="311">
        <f>+'Project PL '!E8</f>
        <v>1255.9449532608694</v>
      </c>
      <c r="D4" s="311">
        <f>+'Project PL '!F8</f>
        <v>1255.9449532608694</v>
      </c>
      <c r="E4" s="311">
        <f>+'Project PL '!G8</f>
        <v>1255.9449532608694</v>
      </c>
      <c r="F4" s="311">
        <f>+'Project PL '!H8</f>
        <v>1284.3755203804349</v>
      </c>
      <c r="G4" s="311">
        <f>+'Project PL '!I8</f>
        <v>1255.9449532608694</v>
      </c>
      <c r="H4" s="311">
        <f>+'Project PL '!J8</f>
        <v>1284.3755203804349</v>
      </c>
      <c r="I4" s="311">
        <f>+'Project PL '!K8</f>
        <v>1255.9449532608694</v>
      </c>
    </row>
    <row r="5" spans="1:9" ht="15.5">
      <c r="A5" s="312" t="s">
        <v>288</v>
      </c>
      <c r="B5" s="313">
        <f>+'Project PL '!D24</f>
        <v>50.564173566858834</v>
      </c>
      <c r="C5" s="313">
        <f>+'Project PL '!E24</f>
        <v>157.10223381378228</v>
      </c>
      <c r="D5" s="313">
        <f>+'Project PL '!F24</f>
        <v>164.36116238521086</v>
      </c>
      <c r="E5" s="313">
        <f>+'Project PL '!G24</f>
        <v>198.83850524235373</v>
      </c>
      <c r="F5" s="313">
        <f>+'Project PL '!H24</f>
        <v>218.75333520353425</v>
      </c>
      <c r="G5" s="313">
        <f>+'Project PL '!I24</f>
        <v>228.23024809949661</v>
      </c>
      <c r="H5" s="313">
        <f>+'Project PL '!J24</f>
        <v>253.49629379049065</v>
      </c>
      <c r="I5" s="313">
        <f>+'Project PL '!K24</f>
        <v>236.16953381378235</v>
      </c>
    </row>
    <row r="6" spans="1:9" ht="15.5">
      <c r="A6" s="314" t="s">
        <v>289</v>
      </c>
      <c r="B6" s="315">
        <f>+B5/B4</f>
        <v>7.3565693234306784E-2</v>
      </c>
      <c r="C6" s="315">
        <f t="shared" ref="C6:G6" si="0">+C5/C4</f>
        <v>0.12508687853388026</v>
      </c>
      <c r="D6" s="315">
        <f t="shared" si="0"/>
        <v>0.13086653356779068</v>
      </c>
      <c r="E6" s="315">
        <f t="shared" si="0"/>
        <v>0.15831785041701063</v>
      </c>
      <c r="F6" s="315">
        <f t="shared" si="0"/>
        <v>0.17031882944852378</v>
      </c>
      <c r="G6" s="315">
        <f t="shared" si="0"/>
        <v>0.18171994521490101</v>
      </c>
      <c r="H6" s="315">
        <f t="shared" ref="H6:I6" si="1">+H5/H4</f>
        <v>0.19736929719386467</v>
      </c>
      <c r="I6" s="315">
        <f t="shared" si="1"/>
        <v>0.1880413096136134</v>
      </c>
    </row>
    <row r="7" spans="1:9" ht="15.5">
      <c r="A7" s="310" t="s">
        <v>290</v>
      </c>
      <c r="B7" s="311">
        <f>+'Project BS'!D6+'Project BS'!D7+'Project BS'!D8</f>
        <v>407.05954753182993</v>
      </c>
      <c r="C7" s="311">
        <f>+'Project BS'!E6+'Project BS'!E7+'Project BS'!E8</f>
        <v>460.59644627354487</v>
      </c>
      <c r="D7" s="311">
        <f>+'Project BS'!F6+'Project BS'!F7+'Project BS'!F8</f>
        <v>570.30343430097412</v>
      </c>
      <c r="E7" s="311">
        <f>+'Project BS'!G6+'Project BS'!G7+'Project BS'!G8</f>
        <v>706.31616375697479</v>
      </c>
      <c r="F7" s="311">
        <f>+'Project BS'!H6+'Project BS'!H7+'Project BS'!H8</f>
        <v>855.95649867997895</v>
      </c>
      <c r="G7" s="311">
        <f>+'Project BS'!I6+'Project BS'!I7+'Project BS'!I8</f>
        <v>1010.0222095645511</v>
      </c>
      <c r="H7" s="311">
        <f>+'Project BS'!J6+'Project BS'!J7+'Project BS'!J8</f>
        <v>1181.5710592864682</v>
      </c>
      <c r="I7" s="311">
        <f>+'Project BS'!K6+'Project BS'!K7+'Project BS'!K8</f>
        <v>1333.9998630281832</v>
      </c>
    </row>
    <row r="8" spans="1:9" ht="15.5">
      <c r="A8" s="310" t="s">
        <v>291</v>
      </c>
      <c r="B8" s="311">
        <f>+'Project BS'!D10+'Project BS'!D13+'Project BS'!D14+'Project BS'!D15+'Project BS'!D16</f>
        <v>646.86047141918607</v>
      </c>
      <c r="C8" s="311">
        <f>+'Project BS'!E10+'Project BS'!E13+'Project BS'!E14+'Project BS'!E15+'Project BS'!E16</f>
        <v>590.52560594758847</v>
      </c>
      <c r="D8" s="311">
        <f>+'Project BS'!F10+'Project BS'!F13+'Project BS'!F14+'Project BS'!F15+'Project BS'!F16</f>
        <v>512.5430166618745</v>
      </c>
      <c r="E8" s="311">
        <f>+'Project BS'!G10+'Project BS'!G13+'Project BS'!G14+'Project BS'!G15+'Project BS'!G16</f>
        <v>417.81251750336173</v>
      </c>
      <c r="F8" s="311">
        <f>+'Project BS'!H10+'Project BS'!H13+'Project BS'!H14+'Project BS'!H15+'Project BS'!H16</f>
        <v>321.11080391789949</v>
      </c>
      <c r="G8" s="311">
        <f>+'Project BS'!I10+'Project BS'!I13+'Project BS'!I14+'Project BS'!I15+'Project BS'!I16</f>
        <v>220.88262296324405</v>
      </c>
      <c r="H8" s="311">
        <f>+'Project BS'!J10+'Project BS'!J13+'Project BS'!J14+'Project BS'!J15+'Project BS'!J16</f>
        <v>200.47939850573837</v>
      </c>
      <c r="I8" s="311">
        <f>+'Project BS'!K10+'Project BS'!K13+'Project BS'!K14+'Project BS'!K15+'Project BS'!K16</f>
        <v>197.00208724895813</v>
      </c>
    </row>
    <row r="9" spans="1:9" ht="15.5">
      <c r="A9" s="310" t="s">
        <v>292</v>
      </c>
      <c r="B9" s="311">
        <f>+'Project BS'!D10+'Project BS'!D15</f>
        <v>477</v>
      </c>
      <c r="C9" s="311">
        <f>+'Project BS'!E10+'Project BS'!E15</f>
        <v>405</v>
      </c>
      <c r="D9" s="311">
        <f>+'Project BS'!F10+'Project BS'!F15</f>
        <v>325.9285714285715</v>
      </c>
      <c r="E9" s="311">
        <f>+'Project BS'!G10+'Project BS'!G15</f>
        <v>225.64285714285739</v>
      </c>
      <c r="F9" s="311">
        <f>+'Project BS'!H10+'Project BS'!H15</f>
        <v>125.35714285714306</v>
      </c>
      <c r="G9" s="311">
        <f>+'Project BS'!I10+'Project BS'!I15</f>
        <v>25.071428571428729</v>
      </c>
      <c r="H9" s="311">
        <f>+'Project BS'!J10+'Project BS'!J15</f>
        <v>0</v>
      </c>
      <c r="I9" s="311">
        <f>+'Project BS'!K10+'Project BS'!K15</f>
        <v>0</v>
      </c>
    </row>
    <row r="10" spans="1:9" ht="15.5">
      <c r="A10" s="314" t="s">
        <v>293</v>
      </c>
      <c r="B10" s="316">
        <f t="shared" ref="B10:G10" si="2">+B8/B7</f>
        <v>1.5891052681146238</v>
      </c>
      <c r="C10" s="316">
        <f t="shared" si="2"/>
        <v>1.2820889321340521</v>
      </c>
      <c r="D10" s="316">
        <f t="shared" si="2"/>
        <v>0.89871984953080797</v>
      </c>
      <c r="E10" s="316">
        <f t="shared" si="2"/>
        <v>0.59153752801149295</v>
      </c>
      <c r="F10" s="316">
        <f t="shared" si="2"/>
        <v>0.37514850861358423</v>
      </c>
      <c r="G10" s="316">
        <f t="shared" si="2"/>
        <v>0.21869085736092153</v>
      </c>
      <c r="H10" s="316">
        <f t="shared" ref="H10:I10" si="3">+H8/H7</f>
        <v>0.16967189313760331</v>
      </c>
      <c r="I10" s="316">
        <f t="shared" si="3"/>
        <v>0.14767774173661674</v>
      </c>
    </row>
    <row r="11" spans="1:9" ht="15.5">
      <c r="A11" s="314" t="s">
        <v>294</v>
      </c>
      <c r="B11" s="317">
        <f t="shared" ref="B11:G11" si="4">+B9/B7</f>
        <v>1.1718187250299075</v>
      </c>
      <c r="C11" s="317">
        <f t="shared" si="4"/>
        <v>0.87929466950223378</v>
      </c>
      <c r="D11" s="317">
        <f t="shared" si="4"/>
        <v>0.57150027831774319</v>
      </c>
      <c r="E11" s="317">
        <f t="shared" si="4"/>
        <v>0.3194643825544608</v>
      </c>
      <c r="F11" s="317">
        <f t="shared" si="4"/>
        <v>0.14645270297084456</v>
      </c>
      <c r="G11" s="317">
        <f t="shared" si="4"/>
        <v>2.4822650763528978E-2</v>
      </c>
      <c r="H11" s="317">
        <f t="shared" ref="H11:I11" si="5">+H9/H7</f>
        <v>0</v>
      </c>
      <c r="I11" s="317">
        <f t="shared" si="5"/>
        <v>0</v>
      </c>
    </row>
    <row r="12" spans="1:9" ht="15.5">
      <c r="A12" s="114" t="s">
        <v>295</v>
      </c>
      <c r="B12" s="318">
        <f>+SUM('Project BS'!D25:D28)</f>
        <v>289.86395416676612</v>
      </c>
      <c r="C12" s="318">
        <f>+SUM('Project BS'!E25:E28)</f>
        <v>347.49790105788333</v>
      </c>
      <c r="D12" s="318">
        <f>+SUM('Project BS'!F25:F28)</f>
        <v>419.65421342059841</v>
      </c>
      <c r="E12" s="318">
        <f>+SUM('Project BS'!G25:G28)</f>
        <v>501.36835733908663</v>
      </c>
      <c r="F12" s="318">
        <f>+SUM('Project BS'!H25:H28)</f>
        <v>594.73889229762835</v>
      </c>
      <c r="G12" s="318">
        <f>+SUM('Project BS'!I25:I28)</f>
        <v>689.00833584854593</v>
      </c>
      <c r="H12" s="318">
        <f>+SUM('Project BS'!J25:J28)</f>
        <v>880.58587473395676</v>
      </c>
      <c r="I12" s="318">
        <f>+SUM('Project BS'!K25:K28)</f>
        <v>1069.9692808398913</v>
      </c>
    </row>
    <row r="13" spans="1:9" ht="15.5">
      <c r="A13" s="319" t="s">
        <v>296</v>
      </c>
      <c r="B13" s="311">
        <f>+SUM('Project BS'!D13:D16)</f>
        <v>241.86047141918607</v>
      </c>
      <c r="C13" s="311">
        <f>+SUM('Project BS'!E13:E16)</f>
        <v>264.59703451901709</v>
      </c>
      <c r="D13" s="311">
        <f>+SUM('Project BS'!F13:F16)</f>
        <v>286.90015951901728</v>
      </c>
      <c r="E13" s="311">
        <f>+SUM('Project BS'!G13:G16)</f>
        <v>292.45537464621867</v>
      </c>
      <c r="F13" s="311">
        <f>+SUM('Project BS'!H13:H16)</f>
        <v>296.03937534647082</v>
      </c>
      <c r="G13" s="311">
        <f>+SUM('Project BS'!I13:I16)</f>
        <v>220.88262296324388</v>
      </c>
      <c r="H13" s="311">
        <f>+SUM('Project BS'!J13:J16)</f>
        <v>200.47939850573837</v>
      </c>
      <c r="I13" s="311">
        <f>+SUM('Project BS'!K13:K16)</f>
        <v>197.00208724895813</v>
      </c>
    </row>
    <row r="14" spans="1:9" ht="15.5">
      <c r="A14" s="322" t="s">
        <v>297</v>
      </c>
      <c r="B14" s="316">
        <f>+B12/B13</f>
        <v>1.1984759331109618</v>
      </c>
      <c r="C14" s="316">
        <f t="shared" ref="C14:G14" si="6">+C12/C13</f>
        <v>1.313309885311311</v>
      </c>
      <c r="D14" s="316">
        <f t="shared" si="6"/>
        <v>1.4627186479231689</v>
      </c>
      <c r="E14" s="316">
        <f t="shared" si="6"/>
        <v>1.7143414031818995</v>
      </c>
      <c r="F14" s="316">
        <f t="shared" si="6"/>
        <v>2.0089857695503288</v>
      </c>
      <c r="G14" s="316">
        <f t="shared" si="6"/>
        <v>3.1193415154400843</v>
      </c>
      <c r="H14" s="316">
        <f t="shared" ref="H14:I14" si="7">+H12/H13</f>
        <v>4.392400821717108</v>
      </c>
      <c r="I14" s="316">
        <f t="shared" si="7"/>
        <v>5.4312586012742869</v>
      </c>
    </row>
    <row r="15" spans="1:9" ht="15.5">
      <c r="A15" s="2" t="s">
        <v>123</v>
      </c>
      <c r="B15" s="320">
        <f>+'Project BS'!D6</f>
        <v>185</v>
      </c>
      <c r="C15" s="320">
        <f>+'Project BS'!E6</f>
        <v>185</v>
      </c>
      <c r="D15" s="320">
        <f>+'Project BS'!F6</f>
        <v>185</v>
      </c>
      <c r="E15" s="320">
        <f>+'Project BS'!G6</f>
        <v>185</v>
      </c>
      <c r="F15" s="320">
        <f>+'Project BS'!H6</f>
        <v>185</v>
      </c>
      <c r="G15" s="320">
        <f>+'Project BS'!I6</f>
        <v>185</v>
      </c>
      <c r="H15" s="320">
        <f>+'Project BS'!J6</f>
        <v>185</v>
      </c>
      <c r="I15" s="320">
        <f>+'Project BS'!K6</f>
        <v>185</v>
      </c>
    </row>
    <row r="16" spans="1:9" ht="15.5">
      <c r="A16" s="2" t="s">
        <v>298</v>
      </c>
      <c r="B16" s="320">
        <f>+'Project BS'!D7</f>
        <v>42.059547531829956</v>
      </c>
      <c r="C16" s="320">
        <f>+'Project BS'!E7</f>
        <v>95.596446273544899</v>
      </c>
      <c r="D16" s="320">
        <f>+'Project BS'!F7</f>
        <v>205.30343430097415</v>
      </c>
      <c r="E16" s="320">
        <f>+'Project BS'!G7</f>
        <v>341.31616375697479</v>
      </c>
      <c r="F16" s="320">
        <f>+'Project BS'!H7</f>
        <v>490.95649867997889</v>
      </c>
      <c r="G16" s="320">
        <f>+'Project BS'!I7</f>
        <v>645.02220956455108</v>
      </c>
      <c r="H16" s="320">
        <f>+'Project BS'!J7</f>
        <v>816.5710592864682</v>
      </c>
      <c r="I16" s="320">
        <f>+'Project BS'!K7</f>
        <v>968.9998630281832</v>
      </c>
    </row>
    <row r="17" spans="1:9" ht="15.5">
      <c r="A17" s="2" t="s">
        <v>112</v>
      </c>
      <c r="B17" s="320">
        <f>+'Project BS'!D8</f>
        <v>180</v>
      </c>
      <c r="C17" s="320">
        <f>+'Project BS'!E8</f>
        <v>180</v>
      </c>
      <c r="D17" s="320">
        <f>+'Project BS'!F8</f>
        <v>180</v>
      </c>
      <c r="E17" s="320">
        <f>+'Project BS'!G8</f>
        <v>180</v>
      </c>
      <c r="F17" s="320">
        <f>+'Project BS'!H8</f>
        <v>180</v>
      </c>
      <c r="G17" s="320">
        <f>+'Project BS'!I8</f>
        <v>180</v>
      </c>
      <c r="H17" s="320">
        <f>+'Project BS'!J8</f>
        <v>180</v>
      </c>
      <c r="I17" s="320">
        <f>+'Project BS'!K8</f>
        <v>180</v>
      </c>
    </row>
    <row r="18" spans="1:9" ht="15.5">
      <c r="A18" s="2" t="s">
        <v>299</v>
      </c>
      <c r="B18" s="320">
        <f>(+B15+B16)/2</f>
        <v>113.52977376591498</v>
      </c>
      <c r="C18" s="320">
        <f t="shared" ref="C18:G18" si="8">(+C15+C16)/2</f>
        <v>140.29822313677244</v>
      </c>
      <c r="D18" s="320">
        <f t="shared" si="8"/>
        <v>195.15171715048706</v>
      </c>
      <c r="E18" s="320">
        <f t="shared" si="8"/>
        <v>263.15808187848739</v>
      </c>
      <c r="F18" s="320">
        <f t="shared" si="8"/>
        <v>337.97824933998947</v>
      </c>
      <c r="G18" s="320">
        <f t="shared" si="8"/>
        <v>415.01110478227554</v>
      </c>
      <c r="H18" s="320">
        <f t="shared" ref="H18:I18" si="9">(+H15+H16)/2</f>
        <v>500.7855296432341</v>
      </c>
      <c r="I18" s="320">
        <f t="shared" si="9"/>
        <v>576.9999315140916</v>
      </c>
    </row>
    <row r="19" spans="1:9" ht="15.5">
      <c r="A19" s="2" t="s">
        <v>300</v>
      </c>
      <c r="B19" s="320">
        <f>+MIN(B17:B18)</f>
        <v>113.52977376591498</v>
      </c>
      <c r="C19" s="320">
        <f t="shared" ref="C19:G19" si="10">+MIN(C17:C18)</f>
        <v>140.29822313677244</v>
      </c>
      <c r="D19" s="320">
        <f t="shared" si="10"/>
        <v>180</v>
      </c>
      <c r="E19" s="320">
        <f t="shared" si="10"/>
        <v>180</v>
      </c>
      <c r="F19" s="320">
        <f t="shared" si="10"/>
        <v>180</v>
      </c>
      <c r="G19" s="320">
        <f t="shared" si="10"/>
        <v>180</v>
      </c>
      <c r="H19" s="320">
        <f t="shared" ref="H19:I19" si="11">+MIN(H17:H18)</f>
        <v>180</v>
      </c>
      <c r="I19" s="320">
        <f t="shared" si="11"/>
        <v>180</v>
      </c>
    </row>
    <row r="20" spans="1:9" ht="15.5">
      <c r="A20" s="2" t="s">
        <v>301</v>
      </c>
      <c r="B20" s="320">
        <f>+B17-B19</f>
        <v>66.470226234085018</v>
      </c>
      <c r="C20" s="320">
        <f t="shared" ref="C20:G20" si="12">+C17-C19</f>
        <v>39.701776863227565</v>
      </c>
      <c r="D20" s="320">
        <f t="shared" si="12"/>
        <v>0</v>
      </c>
      <c r="E20" s="320">
        <f t="shared" si="12"/>
        <v>0</v>
      </c>
      <c r="F20" s="320">
        <f t="shared" si="12"/>
        <v>0</v>
      </c>
      <c r="G20" s="320">
        <f t="shared" si="12"/>
        <v>0</v>
      </c>
      <c r="H20" s="320">
        <f t="shared" ref="H20:I20" si="13">+H17-H19</f>
        <v>0</v>
      </c>
      <c r="I20" s="320">
        <f t="shared" si="13"/>
        <v>0</v>
      </c>
    </row>
    <row r="21" spans="1:9" ht="15.5">
      <c r="A21" s="2" t="s">
        <v>302</v>
      </c>
      <c r="B21" s="320">
        <f>+B15+B16+B19</f>
        <v>340.58932129774496</v>
      </c>
      <c r="C21" s="320">
        <f t="shared" ref="C21:G21" si="14">+C15+C16+C19</f>
        <v>420.89466941031731</v>
      </c>
      <c r="D21" s="320">
        <f t="shared" si="14"/>
        <v>570.30343430097412</v>
      </c>
      <c r="E21" s="320">
        <f t="shared" si="14"/>
        <v>706.31616375697479</v>
      </c>
      <c r="F21" s="320">
        <f t="shared" si="14"/>
        <v>855.95649867997895</v>
      </c>
      <c r="G21" s="320">
        <f t="shared" si="14"/>
        <v>1010.0222095645511</v>
      </c>
      <c r="H21" s="320">
        <f t="shared" ref="H21:I21" si="15">+H15+H16+H19</f>
        <v>1181.5710592864682</v>
      </c>
      <c r="I21" s="320">
        <f t="shared" si="15"/>
        <v>1333.9998630281832</v>
      </c>
    </row>
    <row r="22" spans="1:9" ht="15.5">
      <c r="A22" s="2" t="s">
        <v>303</v>
      </c>
      <c r="B22" s="320">
        <f>+'Project BS'!D13+'Project BS'!D14+'Project BS'!D15+'Project BS'!D16+B20</f>
        <v>308.3306976532711</v>
      </c>
      <c r="C22" s="320">
        <f>+'Project BS'!E13+'Project BS'!E14+'Project BS'!E15+'Project BS'!E16+C20</f>
        <v>304.29881138224465</v>
      </c>
      <c r="D22" s="320">
        <f>+'Project BS'!F13+'Project BS'!F14+'Project BS'!F15+'Project BS'!F16+D20</f>
        <v>286.90015951901728</v>
      </c>
      <c r="E22" s="320">
        <f>+'Project BS'!G13+'Project BS'!G14+'Project BS'!G15+'Project BS'!G16+E20</f>
        <v>292.45537464621867</v>
      </c>
      <c r="F22" s="320">
        <f>+'Project BS'!H13+'Project BS'!H14+'Project BS'!H15+'Project BS'!H16+F20</f>
        <v>296.03937534647082</v>
      </c>
      <c r="G22" s="320">
        <f>+'Project BS'!I13+'Project BS'!I14+'Project BS'!I15+'Project BS'!I16+G20</f>
        <v>220.88262296324388</v>
      </c>
      <c r="H22" s="320">
        <f>+'Project BS'!J13+'Project BS'!J14+'Project BS'!J15+'Project BS'!J16+H20</f>
        <v>200.47939850573837</v>
      </c>
      <c r="I22" s="320">
        <f>+'Project BS'!K13+'Project BS'!K14+'Project BS'!K15+'Project BS'!K16+I20</f>
        <v>197.00208724895813</v>
      </c>
    </row>
    <row r="23" spans="1:9" ht="15.5">
      <c r="A23" s="314" t="s">
        <v>304</v>
      </c>
      <c r="B23" s="316">
        <f>+B22/B21</f>
        <v>0.9052858629813787</v>
      </c>
      <c r="C23" s="316">
        <f t="shared" ref="C23:G23" si="16">+C22/C21</f>
        <v>0.7229809106600803</v>
      </c>
      <c r="D23" s="316">
        <f t="shared" si="16"/>
        <v>0.5030658106954472</v>
      </c>
      <c r="E23" s="316">
        <f t="shared" si="16"/>
        <v>0.41405731548123687</v>
      </c>
      <c r="F23" s="316">
        <f t="shared" si="16"/>
        <v>0.34585796801941526</v>
      </c>
      <c r="G23" s="316">
        <f t="shared" si="16"/>
        <v>0.21869085736092136</v>
      </c>
      <c r="H23" s="316">
        <f t="shared" ref="H23:I23" si="17">+H22/H21</f>
        <v>0.16967189313760331</v>
      </c>
      <c r="I23" s="316">
        <f t="shared" si="17"/>
        <v>0.14767774173661674</v>
      </c>
    </row>
    <row r="24" spans="1:9" ht="15.5">
      <c r="A24" s="2" t="s">
        <v>292</v>
      </c>
      <c r="B24" s="320">
        <f t="shared" ref="B24:G24" si="18">+B9</f>
        <v>477</v>
      </c>
      <c r="C24" s="320">
        <f t="shared" si="18"/>
        <v>405</v>
      </c>
      <c r="D24" s="320">
        <f t="shared" si="18"/>
        <v>325.9285714285715</v>
      </c>
      <c r="E24" s="320">
        <f t="shared" si="18"/>
        <v>225.64285714285739</v>
      </c>
      <c r="F24" s="320">
        <f t="shared" si="18"/>
        <v>125.35714285714306</v>
      </c>
      <c r="G24" s="320">
        <f t="shared" si="18"/>
        <v>25.071428571428729</v>
      </c>
      <c r="H24" s="320">
        <f t="shared" ref="H24:I24" si="19">+H9</f>
        <v>0</v>
      </c>
      <c r="I24" s="320">
        <f t="shared" si="19"/>
        <v>0</v>
      </c>
    </row>
    <row r="25" spans="1:9" ht="15.5">
      <c r="A25" s="2" t="s">
        <v>302</v>
      </c>
      <c r="B25" s="320">
        <f>+B21</f>
        <v>340.58932129774496</v>
      </c>
      <c r="C25" s="320">
        <f t="shared" ref="C25:G25" si="20">+C21</f>
        <v>420.89466941031731</v>
      </c>
      <c r="D25" s="320">
        <f t="shared" si="20"/>
        <v>570.30343430097412</v>
      </c>
      <c r="E25" s="320">
        <f t="shared" si="20"/>
        <v>706.31616375697479</v>
      </c>
      <c r="F25" s="320">
        <f t="shared" si="20"/>
        <v>855.95649867997895</v>
      </c>
      <c r="G25" s="320">
        <f t="shared" si="20"/>
        <v>1010.0222095645511</v>
      </c>
      <c r="H25" s="320">
        <f t="shared" ref="H25:I25" si="21">+H21</f>
        <v>1181.5710592864682</v>
      </c>
      <c r="I25" s="320">
        <f t="shared" si="21"/>
        <v>1333.9998630281832</v>
      </c>
    </row>
    <row r="26" spans="1:9" ht="15.5">
      <c r="A26" s="314" t="s">
        <v>294</v>
      </c>
      <c r="B26" s="317">
        <f>+B24/B25</f>
        <v>1.4005136690207738</v>
      </c>
      <c r="C26" s="317">
        <f t="shared" ref="C26:G26" si="22">+C24/C25</f>
        <v>0.96223599259979675</v>
      </c>
      <c r="D26" s="317">
        <f t="shared" si="22"/>
        <v>0.57150027831774319</v>
      </c>
      <c r="E26" s="317">
        <f t="shared" si="22"/>
        <v>0.3194643825544608</v>
      </c>
      <c r="F26" s="317">
        <f t="shared" si="22"/>
        <v>0.14645270297084456</v>
      </c>
      <c r="G26" s="317">
        <f t="shared" si="22"/>
        <v>2.4822650763528978E-2</v>
      </c>
      <c r="H26" s="317">
        <f t="shared" ref="H26:I26" si="23">+H24/H25</f>
        <v>0</v>
      </c>
      <c r="I26" s="317">
        <f t="shared" si="23"/>
        <v>0</v>
      </c>
    </row>
  </sheetData>
  <mergeCells count="2">
    <mergeCell ref="A1:I1"/>
    <mergeCell ref="A2:I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L83"/>
  <sheetViews>
    <sheetView showGridLines="0" showWhiteSpace="0" view="pageBreakPreview" zoomScaleSheetLayoutView="100" zoomScalePageLayoutView="60" workbookViewId="0">
      <selection activeCell="H26" sqref="H26"/>
    </sheetView>
  </sheetViews>
  <sheetFormatPr defaultColWidth="9.1796875" defaultRowHeight="15.5"/>
  <cols>
    <col min="1" max="1" width="9.1796875" style="1"/>
    <col min="2" max="2" width="28.81640625" style="1" customWidth="1"/>
    <col min="3" max="3" width="14.54296875" style="1" customWidth="1"/>
    <col min="4" max="4" width="10.7265625" style="1" customWidth="1"/>
    <col min="5" max="5" width="11.81640625" style="1" customWidth="1"/>
    <col min="6" max="6" width="19.453125" style="1" bestFit="1" customWidth="1"/>
    <col min="7" max="7" width="12.7265625" style="1" customWidth="1"/>
    <col min="8" max="8" width="15.7265625" style="1" customWidth="1"/>
    <col min="9" max="11" width="14" style="1" bestFit="1" customWidth="1"/>
    <col min="12" max="12" width="9.81640625" style="1" bestFit="1" customWidth="1"/>
    <col min="13" max="13" width="10.1796875" style="1" bestFit="1" customWidth="1"/>
    <col min="14" max="14" width="9.1796875" style="1"/>
    <col min="15" max="15" width="10.1796875" style="1" bestFit="1" customWidth="1"/>
    <col min="16" max="16384" width="9.1796875" style="1"/>
  </cols>
  <sheetData>
    <row r="1" spans="1:11" ht="23.5">
      <c r="A1" s="35" t="s">
        <v>19</v>
      </c>
    </row>
    <row r="3" spans="1:11" ht="20">
      <c r="A3" s="571" t="s">
        <v>352</v>
      </c>
      <c r="B3" s="571"/>
      <c r="C3" s="571"/>
      <c r="D3" s="571"/>
      <c r="E3" s="571"/>
      <c r="F3" s="571"/>
      <c r="G3" s="571"/>
      <c r="H3" s="571"/>
    </row>
    <row r="4" spans="1:11" ht="18.75" customHeight="1">
      <c r="A4" s="333" t="s">
        <v>4</v>
      </c>
      <c r="B4" s="565" t="s">
        <v>1</v>
      </c>
      <c r="C4" s="566"/>
      <c r="D4" s="566"/>
      <c r="E4" s="567"/>
      <c r="F4" s="335"/>
      <c r="G4" s="335" t="s">
        <v>3</v>
      </c>
      <c r="H4" s="333" t="s">
        <v>2</v>
      </c>
      <c r="K4" s="4"/>
    </row>
    <row r="5" spans="1:11">
      <c r="A5" s="6">
        <v>1</v>
      </c>
      <c r="B5" s="581" t="s">
        <v>5</v>
      </c>
      <c r="C5" s="582"/>
      <c r="D5" s="582"/>
      <c r="E5" s="583"/>
      <c r="F5" s="83"/>
      <c r="G5" s="17">
        <v>1</v>
      </c>
      <c r="H5" s="155">
        <f>+H17</f>
        <v>0</v>
      </c>
    </row>
    <row r="6" spans="1:11">
      <c r="A6" s="6">
        <f>+A5+1</f>
        <v>2</v>
      </c>
      <c r="B6" s="581" t="s">
        <v>108</v>
      </c>
      <c r="C6" s="582"/>
      <c r="D6" s="582"/>
      <c r="E6" s="583"/>
      <c r="F6" s="83"/>
      <c r="G6" s="17">
        <f>+G5+1</f>
        <v>2</v>
      </c>
      <c r="H6" s="20">
        <f>+H43</f>
        <v>588.59999999999991</v>
      </c>
      <c r="K6" s="21"/>
    </row>
    <row r="7" spans="1:11">
      <c r="A7" s="6">
        <f>+A6+1</f>
        <v>3</v>
      </c>
      <c r="B7" s="581" t="s">
        <v>109</v>
      </c>
      <c r="C7" s="582"/>
      <c r="D7" s="582"/>
      <c r="E7" s="583"/>
      <c r="F7" s="83"/>
      <c r="G7" s="17">
        <f>+G6+1</f>
        <v>3</v>
      </c>
      <c r="H7" s="20">
        <f>+H71</f>
        <v>362.84179235199997</v>
      </c>
      <c r="J7" s="4"/>
      <c r="K7" s="4"/>
    </row>
    <row r="8" spans="1:11">
      <c r="A8" s="6">
        <v>4</v>
      </c>
      <c r="B8" s="81" t="s">
        <v>200</v>
      </c>
      <c r="C8" s="82"/>
      <c r="D8" s="82"/>
      <c r="E8" s="83"/>
      <c r="F8" s="83"/>
      <c r="G8" s="17">
        <v>4</v>
      </c>
      <c r="H8" s="20">
        <f>+H83</f>
        <v>45.308333333333337</v>
      </c>
      <c r="J8" s="4"/>
      <c r="K8" s="4">
        <f>93.3+2.12+60.15</f>
        <v>155.57</v>
      </c>
    </row>
    <row r="9" spans="1:11">
      <c r="A9" s="6"/>
      <c r="B9" s="81"/>
      <c r="C9" s="82"/>
      <c r="D9" s="82"/>
      <c r="E9" s="83"/>
      <c r="F9" s="83"/>
      <c r="G9" s="17"/>
      <c r="H9" s="20"/>
      <c r="J9" s="4"/>
      <c r="K9" s="4">
        <v>155.57</v>
      </c>
    </row>
    <row r="10" spans="1:11">
      <c r="A10" s="337"/>
      <c r="B10" s="575" t="s">
        <v>6</v>
      </c>
      <c r="C10" s="576"/>
      <c r="D10" s="576"/>
      <c r="E10" s="577"/>
      <c r="F10" s="338"/>
      <c r="G10" s="338"/>
      <c r="H10" s="339">
        <f>+SUM(H5:H8)</f>
        <v>996.75012568533316</v>
      </c>
      <c r="I10" s="4"/>
      <c r="J10" s="4"/>
    </row>
    <row r="13" spans="1:11" ht="20">
      <c r="A13" s="571" t="s">
        <v>45</v>
      </c>
      <c r="B13" s="571"/>
      <c r="C13" s="571"/>
      <c r="D13" s="571"/>
      <c r="E13" s="571"/>
      <c r="F13" s="571"/>
      <c r="G13" s="571"/>
      <c r="H13" s="571"/>
    </row>
    <row r="14" spans="1:11" ht="23.25" customHeight="1">
      <c r="A14" s="333" t="s">
        <v>4</v>
      </c>
      <c r="B14" s="565" t="s">
        <v>1</v>
      </c>
      <c r="C14" s="566"/>
      <c r="D14" s="566"/>
      <c r="E14" s="567"/>
      <c r="F14" s="335"/>
      <c r="G14" s="335"/>
      <c r="H14" s="333" t="s">
        <v>2</v>
      </c>
    </row>
    <row r="15" spans="1:11" ht="19.5">
      <c r="A15" s="5"/>
      <c r="B15" s="578"/>
      <c r="C15" s="579"/>
      <c r="D15" s="579"/>
      <c r="E15" s="580"/>
      <c r="F15" s="83" t="s">
        <v>276</v>
      </c>
      <c r="G15" s="18"/>
      <c r="H15" s="2"/>
    </row>
    <row r="16" spans="1:11" ht="16.5" customHeight="1">
      <c r="A16" s="6">
        <v>1</v>
      </c>
      <c r="B16" s="581" t="s">
        <v>223</v>
      </c>
      <c r="C16" s="582"/>
      <c r="D16" s="582"/>
      <c r="E16" s="583"/>
      <c r="F16" s="83">
        <v>11</v>
      </c>
      <c r="G16" s="17">
        <v>5.2</v>
      </c>
      <c r="H16" s="20">
        <v>0</v>
      </c>
    </row>
    <row r="17" spans="1:11" ht="16.5" customHeight="1">
      <c r="A17" s="337"/>
      <c r="B17" s="575" t="s">
        <v>0</v>
      </c>
      <c r="C17" s="576"/>
      <c r="D17" s="576"/>
      <c r="E17" s="577"/>
      <c r="F17" s="338"/>
      <c r="G17" s="340"/>
      <c r="H17" s="341">
        <f>+H16</f>
        <v>0</v>
      </c>
    </row>
    <row r="18" spans="1:11">
      <c r="A18" s="584" t="s">
        <v>331</v>
      </c>
      <c r="B18" s="584"/>
      <c r="C18" s="584"/>
      <c r="D18" s="584"/>
      <c r="E18" s="584"/>
      <c r="F18" s="584"/>
      <c r="G18" s="584"/>
      <c r="H18" s="584"/>
    </row>
    <row r="19" spans="1:11">
      <c r="A19" s="585"/>
      <c r="B19" s="585"/>
      <c r="C19" s="585"/>
      <c r="D19" s="585"/>
      <c r="E19" s="585"/>
      <c r="F19" s="585"/>
      <c r="G19" s="585"/>
      <c r="H19" s="585"/>
    </row>
    <row r="20" spans="1:11">
      <c r="A20" s="152"/>
      <c r="B20" s="152"/>
      <c r="C20" s="152"/>
      <c r="D20" s="152"/>
      <c r="E20" s="152"/>
      <c r="F20" s="152"/>
      <c r="G20" s="152"/>
      <c r="H20" s="152"/>
    </row>
    <row r="21" spans="1:11" ht="20">
      <c r="A21" s="571" t="s">
        <v>104</v>
      </c>
      <c r="B21" s="571"/>
      <c r="C21" s="571"/>
      <c r="D21" s="571"/>
      <c r="E21" s="571"/>
      <c r="F21" s="571"/>
      <c r="G21" s="571"/>
      <c r="H21" s="571"/>
    </row>
    <row r="22" spans="1:11" ht="20">
      <c r="A22" s="333" t="s">
        <v>4</v>
      </c>
      <c r="B22" s="565" t="s">
        <v>1</v>
      </c>
      <c r="C22" s="566"/>
      <c r="D22" s="566"/>
      <c r="E22" s="567"/>
      <c r="F22" s="333" t="s">
        <v>105</v>
      </c>
      <c r="G22" s="333" t="s">
        <v>15</v>
      </c>
      <c r="H22" s="333" t="s">
        <v>2</v>
      </c>
    </row>
    <row r="23" spans="1:11" ht="15.75" customHeight="1">
      <c r="A23" s="5"/>
      <c r="B23" s="572"/>
      <c r="C23" s="573"/>
      <c r="D23" s="573"/>
      <c r="E23" s="574"/>
      <c r="F23" s="2"/>
      <c r="G23" s="2"/>
      <c r="H23" s="2"/>
    </row>
    <row r="24" spans="1:11">
      <c r="A24" s="6">
        <v>1</v>
      </c>
      <c r="B24" s="81" t="s">
        <v>130</v>
      </c>
      <c r="C24" s="82"/>
      <c r="D24" s="82"/>
      <c r="E24" s="83"/>
      <c r="F24" s="83"/>
      <c r="G24" s="17"/>
      <c r="H24" s="20"/>
      <c r="I24" s="4"/>
    </row>
    <row r="25" spans="1:11">
      <c r="A25" s="6"/>
      <c r="B25" s="81" t="s">
        <v>235</v>
      </c>
      <c r="C25" s="82"/>
      <c r="D25" s="82"/>
      <c r="E25" s="83"/>
      <c r="F25" s="228">
        <v>5940</v>
      </c>
      <c r="G25" s="17">
        <v>500</v>
      </c>
      <c r="H25" s="20">
        <f>+F25*G25/10^5</f>
        <v>29.7</v>
      </c>
      <c r="J25" s="1">
        <v>100</v>
      </c>
    </row>
    <row r="26" spans="1:11">
      <c r="A26" s="6"/>
      <c r="B26" s="81" t="s">
        <v>236</v>
      </c>
      <c r="C26" s="82"/>
      <c r="D26" s="82"/>
      <c r="E26" s="83"/>
      <c r="F26" s="228">
        <v>16500</v>
      </c>
      <c r="G26" s="17">
        <v>500</v>
      </c>
      <c r="H26" s="20">
        <f>+F26*G26/10^5</f>
        <v>82.5</v>
      </c>
      <c r="J26" s="1">
        <f>16450/13000</f>
        <v>1.2653846153846153</v>
      </c>
      <c r="K26" s="1">
        <f>22000*0.4</f>
        <v>8800</v>
      </c>
    </row>
    <row r="27" spans="1:11">
      <c r="A27" s="6"/>
      <c r="B27" s="81" t="s">
        <v>237</v>
      </c>
      <c r="C27" s="82"/>
      <c r="D27" s="82"/>
      <c r="E27" s="83"/>
      <c r="F27" s="228">
        <v>49500</v>
      </c>
      <c r="G27" s="17">
        <v>500</v>
      </c>
      <c r="H27" s="20">
        <f>+F27*G27/10^5</f>
        <v>247.5</v>
      </c>
    </row>
    <row r="28" spans="1:11">
      <c r="A28" s="6">
        <v>2</v>
      </c>
      <c r="B28" s="81" t="s">
        <v>238</v>
      </c>
      <c r="C28" s="82"/>
      <c r="D28" s="82"/>
      <c r="E28" s="83"/>
      <c r="F28" s="228">
        <v>2500</v>
      </c>
      <c r="G28" s="17">
        <v>750</v>
      </c>
      <c r="H28" s="20">
        <f t="shared" ref="H28:H34" si="0">+F28*G28/100000</f>
        <v>18.75</v>
      </c>
    </row>
    <row r="29" spans="1:11">
      <c r="A29" s="6">
        <f>+A28+1</f>
        <v>3</v>
      </c>
      <c r="B29" s="81" t="s">
        <v>239</v>
      </c>
      <c r="C29" s="82"/>
      <c r="D29" s="82"/>
      <c r="E29" s="83"/>
      <c r="F29" s="228">
        <v>300</v>
      </c>
      <c r="G29" s="17">
        <v>650</v>
      </c>
      <c r="H29" s="20">
        <f t="shared" si="0"/>
        <v>1.95</v>
      </c>
    </row>
    <row r="30" spans="1:11">
      <c r="A30" s="6">
        <f t="shared" ref="A30:A41" si="1">+A29+1</f>
        <v>4</v>
      </c>
      <c r="B30" s="81" t="s">
        <v>240</v>
      </c>
      <c r="C30" s="82"/>
      <c r="D30" s="82"/>
      <c r="E30" s="83"/>
      <c r="F30" s="228">
        <v>200</v>
      </c>
      <c r="G30" s="17">
        <v>750</v>
      </c>
      <c r="H30" s="20">
        <f t="shared" si="0"/>
        <v>1.5</v>
      </c>
    </row>
    <row r="31" spans="1:11">
      <c r="A31" s="6">
        <f t="shared" si="1"/>
        <v>5</v>
      </c>
      <c r="B31" s="81" t="s">
        <v>241</v>
      </c>
      <c r="C31" s="82"/>
      <c r="D31" s="82"/>
      <c r="E31" s="83"/>
      <c r="F31" s="228">
        <v>300</v>
      </c>
      <c r="G31" s="17">
        <v>1550</v>
      </c>
      <c r="H31" s="20">
        <f t="shared" si="0"/>
        <v>4.6500000000000004</v>
      </c>
    </row>
    <row r="32" spans="1:11">
      <c r="A32" s="6">
        <f t="shared" si="1"/>
        <v>6</v>
      </c>
      <c r="B32" s="81" t="s">
        <v>242</v>
      </c>
      <c r="C32" s="82"/>
      <c r="D32" s="82"/>
      <c r="E32" s="83"/>
      <c r="F32" s="228">
        <v>900</v>
      </c>
      <c r="G32" s="17">
        <v>750</v>
      </c>
      <c r="H32" s="20">
        <f t="shared" si="0"/>
        <v>6.75</v>
      </c>
    </row>
    <row r="33" spans="1:12">
      <c r="A33" s="6">
        <f t="shared" si="1"/>
        <v>7</v>
      </c>
      <c r="B33" s="81" t="s">
        <v>244</v>
      </c>
      <c r="C33" s="82"/>
      <c r="D33" s="82"/>
      <c r="E33" s="83"/>
      <c r="F33" s="228">
        <v>3600</v>
      </c>
      <c r="G33" s="17">
        <v>1000</v>
      </c>
      <c r="H33" s="20">
        <f t="shared" si="0"/>
        <v>36</v>
      </c>
    </row>
    <row r="34" spans="1:12">
      <c r="A34" s="6">
        <f t="shared" si="1"/>
        <v>8</v>
      </c>
      <c r="B34" s="81" t="s">
        <v>243</v>
      </c>
      <c r="C34" s="82"/>
      <c r="D34" s="82"/>
      <c r="E34" s="83"/>
      <c r="F34" s="228">
        <v>4800</v>
      </c>
      <c r="G34" s="17">
        <v>750</v>
      </c>
      <c r="H34" s="20">
        <f t="shared" si="0"/>
        <v>36</v>
      </c>
    </row>
    <row r="35" spans="1:12">
      <c r="A35" s="6">
        <f t="shared" si="1"/>
        <v>9</v>
      </c>
      <c r="B35" s="81" t="s">
        <v>245</v>
      </c>
      <c r="C35" s="82"/>
      <c r="D35" s="82"/>
      <c r="E35" s="83"/>
      <c r="F35" s="228"/>
      <c r="G35" s="17"/>
      <c r="H35" s="20">
        <v>7</v>
      </c>
    </row>
    <row r="36" spans="1:12">
      <c r="A36" s="6">
        <f t="shared" si="1"/>
        <v>10</v>
      </c>
      <c r="B36" s="81" t="s">
        <v>258</v>
      </c>
      <c r="C36" s="82"/>
      <c r="D36" s="82"/>
      <c r="E36" s="83"/>
      <c r="F36" s="228"/>
      <c r="G36" s="17"/>
      <c r="H36" s="20">
        <v>10</v>
      </c>
    </row>
    <row r="37" spans="1:12">
      <c r="A37" s="6">
        <f t="shared" si="1"/>
        <v>11</v>
      </c>
      <c r="B37" s="81" t="s">
        <v>259</v>
      </c>
      <c r="C37" s="82"/>
      <c r="D37" s="82"/>
      <c r="E37" s="83"/>
      <c r="F37" s="228">
        <v>450</v>
      </c>
      <c r="G37" s="17">
        <v>750</v>
      </c>
      <c r="H37" s="20">
        <f t="shared" ref="H37:H41" si="2">+F37*G37/100000</f>
        <v>3.375</v>
      </c>
    </row>
    <row r="38" spans="1:12">
      <c r="A38" s="6">
        <f t="shared" si="1"/>
        <v>12</v>
      </c>
      <c r="B38" s="81" t="s">
        <v>260</v>
      </c>
      <c r="C38" s="82"/>
      <c r="D38" s="82"/>
      <c r="E38" s="83"/>
      <c r="F38" s="228">
        <v>450</v>
      </c>
      <c r="G38" s="17">
        <v>750</v>
      </c>
      <c r="H38" s="20">
        <f t="shared" si="2"/>
        <v>3.375</v>
      </c>
    </row>
    <row r="39" spans="1:12">
      <c r="A39" s="6">
        <f t="shared" si="1"/>
        <v>13</v>
      </c>
      <c r="B39" s="81" t="s">
        <v>246</v>
      </c>
      <c r="C39" s="82"/>
      <c r="D39" s="82"/>
      <c r="E39" s="83"/>
      <c r="F39" s="228">
        <v>600</v>
      </c>
      <c r="G39" s="17">
        <v>750</v>
      </c>
      <c r="H39" s="20">
        <f t="shared" si="2"/>
        <v>4.5</v>
      </c>
    </row>
    <row r="40" spans="1:12">
      <c r="A40" s="6">
        <f t="shared" si="1"/>
        <v>14</v>
      </c>
      <c r="B40" s="81" t="s">
        <v>247</v>
      </c>
      <c r="C40" s="82"/>
      <c r="D40" s="82"/>
      <c r="E40" s="83"/>
      <c r="F40" s="228"/>
      <c r="G40" s="17"/>
      <c r="H40" s="20">
        <v>1</v>
      </c>
    </row>
    <row r="41" spans="1:12">
      <c r="A41" s="6">
        <f t="shared" si="1"/>
        <v>15</v>
      </c>
      <c r="B41" s="81" t="s">
        <v>354</v>
      </c>
      <c r="C41" s="82"/>
      <c r="D41" s="82"/>
      <c r="E41" s="83"/>
      <c r="F41" s="228">
        <v>8550</v>
      </c>
      <c r="G41" s="17">
        <v>1100</v>
      </c>
      <c r="H41" s="20">
        <f t="shared" si="2"/>
        <v>94.05</v>
      </c>
    </row>
    <row r="42" spans="1:12">
      <c r="A42" s="6"/>
      <c r="B42" s="81"/>
      <c r="C42" s="82"/>
      <c r="D42" s="82"/>
      <c r="E42" s="83"/>
      <c r="F42" s="83"/>
      <c r="G42" s="17"/>
      <c r="H42" s="20"/>
    </row>
    <row r="43" spans="1:12" ht="20">
      <c r="A43" s="337"/>
      <c r="B43" s="575" t="s">
        <v>107</v>
      </c>
      <c r="C43" s="576"/>
      <c r="D43" s="576"/>
      <c r="E43" s="577"/>
      <c r="F43" s="338"/>
      <c r="G43" s="340"/>
      <c r="H43" s="341">
        <f>+SUM(H23:H41)</f>
        <v>588.59999999999991</v>
      </c>
      <c r="K43" s="4"/>
      <c r="L43" s="4"/>
    </row>
    <row r="47" spans="1:12" ht="20">
      <c r="A47" s="571" t="s">
        <v>106</v>
      </c>
      <c r="B47" s="571"/>
      <c r="C47" s="571"/>
      <c r="D47" s="571"/>
      <c r="E47" s="571"/>
      <c r="F47" s="571"/>
      <c r="G47" s="571"/>
      <c r="H47" s="571"/>
    </row>
    <row r="48" spans="1:12" ht="29">
      <c r="A48" s="333" t="s">
        <v>4</v>
      </c>
      <c r="B48" s="565" t="s">
        <v>1</v>
      </c>
      <c r="C48" s="566"/>
      <c r="D48" s="566"/>
      <c r="E48" s="567"/>
      <c r="F48" s="336" t="s">
        <v>135</v>
      </c>
      <c r="G48" s="336" t="s">
        <v>15</v>
      </c>
      <c r="H48" s="336" t="s">
        <v>44</v>
      </c>
    </row>
    <row r="49" spans="1:8">
      <c r="A49" s="74"/>
      <c r="B49" s="568"/>
      <c r="C49" s="569"/>
      <c r="D49" s="569"/>
      <c r="E49" s="570"/>
      <c r="F49" s="77"/>
      <c r="G49" s="75"/>
      <c r="H49" s="76"/>
    </row>
    <row r="50" spans="1:8">
      <c r="A50" s="74">
        <v>1</v>
      </c>
      <c r="B50" s="90" t="s">
        <v>131</v>
      </c>
      <c r="C50" s="91"/>
      <c r="D50" s="91"/>
      <c r="E50" s="92"/>
      <c r="F50" s="77"/>
      <c r="G50" s="75"/>
      <c r="H50" s="93"/>
    </row>
    <row r="51" spans="1:8">
      <c r="A51" s="74"/>
      <c r="B51" s="226" t="s">
        <v>132</v>
      </c>
      <c r="C51" s="91"/>
      <c r="D51" s="91"/>
      <c r="E51" s="92"/>
      <c r="F51" s="77"/>
      <c r="G51" s="75"/>
      <c r="H51" s="93"/>
    </row>
    <row r="52" spans="1:8">
      <c r="A52" s="74"/>
      <c r="B52" s="90" t="s">
        <v>256</v>
      </c>
      <c r="C52" s="91"/>
      <c r="D52" s="91"/>
      <c r="E52" s="92"/>
      <c r="F52" s="77">
        <v>752</v>
      </c>
      <c r="G52" s="301">
        <f>821.43*1.12</f>
        <v>920.00160000000005</v>
      </c>
      <c r="H52" s="93">
        <f>+F52*G52/10^5</f>
        <v>6.918412032</v>
      </c>
    </row>
    <row r="53" spans="1:8">
      <c r="A53" s="74"/>
      <c r="B53" s="90" t="s">
        <v>255</v>
      </c>
      <c r="C53" s="91"/>
      <c r="D53" s="91"/>
      <c r="E53" s="150"/>
      <c r="F53" s="77">
        <v>380</v>
      </c>
      <c r="G53" s="75">
        <f>33*1.12</f>
        <v>36.96</v>
      </c>
      <c r="H53" s="93">
        <f>+F53*G53/10^5</f>
        <v>0.14044800000000002</v>
      </c>
    </row>
    <row r="54" spans="1:8">
      <c r="A54" s="74"/>
      <c r="B54" s="90" t="s">
        <v>356</v>
      </c>
      <c r="C54" s="91"/>
      <c r="D54" s="91"/>
      <c r="E54" s="92"/>
      <c r="F54" s="77"/>
      <c r="G54" s="154"/>
      <c r="H54" s="93">
        <f>+(H52+H53)*0.1</f>
        <v>0.70588600320000006</v>
      </c>
    </row>
    <row r="55" spans="1:8">
      <c r="A55" s="74"/>
      <c r="B55" s="90"/>
      <c r="C55" s="91"/>
      <c r="D55" s="91"/>
      <c r="E55" s="92"/>
      <c r="F55" s="77"/>
      <c r="G55" s="153"/>
      <c r="H55" s="93"/>
    </row>
    <row r="56" spans="1:8">
      <c r="A56" s="74"/>
      <c r="B56" s="226" t="s">
        <v>254</v>
      </c>
      <c r="C56" s="91"/>
      <c r="D56" s="91"/>
      <c r="E56" s="92"/>
      <c r="F56" s="77">
        <v>4320</v>
      </c>
      <c r="G56" s="301">
        <f>522.32*1.12</f>
        <v>584.99840000000006</v>
      </c>
      <c r="H56" s="93">
        <f>+F56*G56/10^5</f>
        <v>25.271930880000003</v>
      </c>
    </row>
    <row r="57" spans="1:8">
      <c r="A57" s="74"/>
      <c r="B57" s="90" t="s">
        <v>356</v>
      </c>
      <c r="C57" s="91"/>
      <c r="D57" s="91"/>
      <c r="E57" s="92"/>
      <c r="F57" s="77"/>
      <c r="G57" s="75"/>
      <c r="H57" s="93">
        <f>+H56*0.1</f>
        <v>2.5271930880000006</v>
      </c>
    </row>
    <row r="58" spans="1:8">
      <c r="A58" s="74"/>
      <c r="B58" s="90"/>
      <c r="C58" s="91"/>
      <c r="D58" s="91"/>
      <c r="E58" s="92"/>
      <c r="F58" s="77"/>
      <c r="G58" s="75"/>
      <c r="H58" s="93"/>
    </row>
    <row r="59" spans="1:8">
      <c r="A59" s="74"/>
      <c r="B59" s="226" t="s">
        <v>136</v>
      </c>
      <c r="C59" s="91"/>
      <c r="D59" s="91"/>
      <c r="E59" s="92"/>
      <c r="F59" s="77"/>
      <c r="G59" s="75"/>
      <c r="H59" s="93"/>
    </row>
    <row r="60" spans="1:8">
      <c r="A60" s="74"/>
      <c r="B60" s="90" t="s">
        <v>133</v>
      </c>
      <c r="C60" s="91"/>
      <c r="D60" s="91"/>
      <c r="E60" s="150"/>
      <c r="F60" s="77">
        <v>22060</v>
      </c>
      <c r="G60" s="153">
        <f>263.39*1.12</f>
        <v>294.99680000000001</v>
      </c>
      <c r="H60" s="93">
        <f>+F60*G60/10^5</f>
        <v>65.076294079999997</v>
      </c>
    </row>
    <row r="61" spans="1:8">
      <c r="A61" s="74"/>
      <c r="B61" s="90" t="s">
        <v>134</v>
      </c>
      <c r="C61" s="91"/>
      <c r="D61" s="91"/>
      <c r="E61" s="92"/>
      <c r="F61" s="77">
        <v>2208</v>
      </c>
      <c r="G61" s="154">
        <f>415.18*1.12</f>
        <v>465.00160000000005</v>
      </c>
      <c r="H61" s="93">
        <f>+F61*G61/10^5</f>
        <v>10.267235328000002</v>
      </c>
    </row>
    <row r="62" spans="1:8">
      <c r="A62" s="74"/>
      <c r="B62" s="90" t="s">
        <v>356</v>
      </c>
      <c r="C62" s="91"/>
      <c r="D62" s="91"/>
      <c r="E62" s="92"/>
      <c r="F62" s="77"/>
      <c r="G62" s="75"/>
      <c r="H62" s="93">
        <f>+(H60+H61)*0.1</f>
        <v>7.5343529407999998</v>
      </c>
    </row>
    <row r="63" spans="1:8">
      <c r="A63" s="74"/>
      <c r="B63" s="90"/>
      <c r="C63" s="91"/>
      <c r="D63" s="91"/>
      <c r="E63" s="92"/>
      <c r="F63" s="77"/>
      <c r="G63" s="75"/>
      <c r="H63" s="93"/>
    </row>
    <row r="64" spans="1:8">
      <c r="A64" s="74">
        <v>2</v>
      </c>
      <c r="B64" s="90" t="s">
        <v>257</v>
      </c>
      <c r="C64" s="91"/>
      <c r="D64" s="91"/>
      <c r="E64" s="92"/>
      <c r="F64" s="77"/>
      <c r="G64" s="75"/>
      <c r="H64" s="93">
        <f>22.8*1.18</f>
        <v>26.904</v>
      </c>
    </row>
    <row r="65" spans="1:8">
      <c r="A65" s="74">
        <v>3</v>
      </c>
      <c r="B65" s="90" t="s">
        <v>261</v>
      </c>
      <c r="C65" s="91"/>
      <c r="D65" s="91"/>
      <c r="E65" s="92"/>
      <c r="F65" s="77">
        <v>0</v>
      </c>
      <c r="G65" s="75"/>
      <c r="H65" s="93">
        <f>11.5*1.18</f>
        <v>13.569999999999999</v>
      </c>
    </row>
    <row r="66" spans="1:8">
      <c r="A66" s="74">
        <v>4</v>
      </c>
      <c r="B66" s="90" t="s">
        <v>262</v>
      </c>
      <c r="C66" s="91"/>
      <c r="D66" s="91"/>
      <c r="E66" s="92"/>
      <c r="F66" s="77"/>
      <c r="G66" s="75"/>
      <c r="H66" s="93">
        <v>76.015640000000005</v>
      </c>
    </row>
    <row r="67" spans="1:8">
      <c r="A67" s="74">
        <v>5</v>
      </c>
      <c r="B67" s="90" t="s">
        <v>355</v>
      </c>
      <c r="C67" s="91"/>
      <c r="D67" s="91"/>
      <c r="E67" s="92"/>
      <c r="F67" s="77"/>
      <c r="G67" s="75"/>
      <c r="H67" s="93">
        <f>5.28*1.18</f>
        <v>6.2304000000000004</v>
      </c>
    </row>
    <row r="68" spans="1:8">
      <c r="A68" s="74">
        <v>6</v>
      </c>
      <c r="B68" s="90" t="s">
        <v>357</v>
      </c>
      <c r="C68" s="91"/>
      <c r="D68" s="91"/>
      <c r="E68" s="150"/>
      <c r="F68" s="77"/>
      <c r="G68" s="153"/>
      <c r="H68" s="93">
        <v>91.68</v>
      </c>
    </row>
    <row r="69" spans="1:8">
      <c r="A69" s="74">
        <v>7</v>
      </c>
      <c r="B69" s="90" t="s">
        <v>358</v>
      </c>
      <c r="C69" s="91"/>
      <c r="D69" s="91"/>
      <c r="E69" s="150"/>
      <c r="F69" s="77"/>
      <c r="G69" s="153"/>
      <c r="H69" s="93">
        <v>30</v>
      </c>
    </row>
    <row r="70" spans="1:8">
      <c r="A70" s="74"/>
      <c r="B70" s="90"/>
      <c r="C70" s="91"/>
      <c r="D70" s="91"/>
      <c r="E70" s="150"/>
      <c r="F70" s="77"/>
      <c r="G70" s="153"/>
      <c r="H70" s="93"/>
    </row>
    <row r="71" spans="1:8" ht="16.5" customHeight="1">
      <c r="A71" s="342"/>
      <c r="B71" s="586" t="s">
        <v>107</v>
      </c>
      <c r="C71" s="587"/>
      <c r="D71" s="587"/>
      <c r="E71" s="588"/>
      <c r="F71" s="343"/>
      <c r="G71" s="344"/>
      <c r="H71" s="345">
        <f>+SUM(H50:H70)</f>
        <v>362.84179235199997</v>
      </c>
    </row>
    <row r="76" spans="1:8" ht="20">
      <c r="A76" s="571" t="s">
        <v>359</v>
      </c>
      <c r="B76" s="571"/>
      <c r="C76" s="571"/>
      <c r="D76" s="571"/>
      <c r="E76" s="571"/>
      <c r="F76" s="571"/>
      <c r="G76" s="571"/>
      <c r="H76" s="571"/>
    </row>
    <row r="77" spans="1:8" ht="20">
      <c r="A77" s="333" t="s">
        <v>4</v>
      </c>
      <c r="B77" s="565" t="s">
        <v>1</v>
      </c>
      <c r="C77" s="566"/>
      <c r="D77" s="566"/>
      <c r="E77" s="567"/>
      <c r="F77" s="335"/>
      <c r="G77" s="335"/>
      <c r="H77" s="333" t="s">
        <v>2</v>
      </c>
    </row>
    <row r="78" spans="1:8" ht="19.5">
      <c r="A78" s="5"/>
      <c r="B78" s="578"/>
      <c r="C78" s="579"/>
      <c r="D78" s="579"/>
      <c r="E78" s="580"/>
      <c r="F78" s="80"/>
      <c r="G78" s="18"/>
      <c r="H78" s="2"/>
    </row>
    <row r="79" spans="1:8">
      <c r="A79" s="74">
        <v>1</v>
      </c>
      <c r="B79" s="90" t="s">
        <v>201</v>
      </c>
      <c r="C79" s="91"/>
      <c r="D79" s="91"/>
      <c r="E79" s="92"/>
      <c r="F79" s="77"/>
      <c r="G79" s="75"/>
      <c r="H79" s="93">
        <f>+SUM('TL 2'!F73+SUM('TL 2'!F75:F83))</f>
        <v>45.208333333333336</v>
      </c>
    </row>
    <row r="80" spans="1:8">
      <c r="A80" s="74">
        <f>+A79+1</f>
        <v>2</v>
      </c>
      <c r="B80" s="90" t="s">
        <v>202</v>
      </c>
      <c r="C80" s="91"/>
      <c r="D80" s="91"/>
      <c r="E80" s="92"/>
      <c r="F80" s="77"/>
      <c r="G80" s="75"/>
      <c r="H80" s="93">
        <v>0</v>
      </c>
    </row>
    <row r="81" spans="1:8">
      <c r="A81" s="74">
        <f t="shared" ref="A81:A82" si="3">+A80+1</f>
        <v>3</v>
      </c>
      <c r="B81" s="90" t="s">
        <v>203</v>
      </c>
      <c r="C81" s="91"/>
      <c r="D81" s="91"/>
      <c r="E81" s="92"/>
      <c r="F81" s="77"/>
      <c r="G81" s="75"/>
      <c r="H81" s="93">
        <v>0</v>
      </c>
    </row>
    <row r="82" spans="1:8">
      <c r="A82" s="74">
        <f t="shared" si="3"/>
        <v>4</v>
      </c>
      <c r="B82" s="90" t="s">
        <v>204</v>
      </c>
      <c r="C82" s="91"/>
      <c r="D82" s="91"/>
      <c r="E82" s="92"/>
      <c r="F82" s="77"/>
      <c r="G82" s="75"/>
      <c r="H82" s="93">
        <v>0.1</v>
      </c>
    </row>
    <row r="83" spans="1:8" ht="20">
      <c r="A83" s="337"/>
      <c r="B83" s="575" t="s">
        <v>0</v>
      </c>
      <c r="C83" s="576"/>
      <c r="D83" s="576"/>
      <c r="E83" s="577"/>
      <c r="F83" s="338"/>
      <c r="G83" s="340"/>
      <c r="H83" s="341">
        <f>+SUM(H79:H82)</f>
        <v>45.308333333333337</v>
      </c>
    </row>
  </sheetData>
  <mergeCells count="24">
    <mergeCell ref="A76:H76"/>
    <mergeCell ref="B77:E77"/>
    <mergeCell ref="B78:E78"/>
    <mergeCell ref="B83:E83"/>
    <mergeCell ref="B71:E71"/>
    <mergeCell ref="A3:H3"/>
    <mergeCell ref="B4:E4"/>
    <mergeCell ref="B5:E5"/>
    <mergeCell ref="B6:E6"/>
    <mergeCell ref="B7:E7"/>
    <mergeCell ref="B10:E10"/>
    <mergeCell ref="A13:H13"/>
    <mergeCell ref="A47:H47"/>
    <mergeCell ref="B43:E43"/>
    <mergeCell ref="B14:E14"/>
    <mergeCell ref="B15:E15"/>
    <mergeCell ref="B16:E16"/>
    <mergeCell ref="B17:E17"/>
    <mergeCell ref="A18:H19"/>
    <mergeCell ref="B48:E48"/>
    <mergeCell ref="B49:E49"/>
    <mergeCell ref="A21:H21"/>
    <mergeCell ref="B22:E22"/>
    <mergeCell ref="B23:E23"/>
  </mergeCells>
  <pageMargins left="0.7" right="0.7" top="0.75" bottom="0.75" header="0.3" footer="0.3"/>
  <pageSetup scale="72" orientation="landscape" r:id="rId1"/>
  <headerFooter>
    <oddHeader>&amp;C&amp;"Book Antiqua,Bold"&amp;13</oddHeader>
    <oddFooter>&amp;C&amp;"-,Bold"&amp;12Prepared by JNR Corporate Advisory Services Private Limited, Contact details: jnr4india@gmail.com, +918602267779, +918962611446</oddFooter>
  </headerFooter>
  <rowBreaks count="2" manualBreakCount="2">
    <brk id="25" max="7" man="1"/>
    <brk id="58"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D37D-2058-4E4A-BAD2-FE8D3E3CEB5F}">
  <sheetPr>
    <tabColor theme="0" tint="-0.34998626667073579"/>
  </sheetPr>
  <dimension ref="A1:S50"/>
  <sheetViews>
    <sheetView showGridLines="0" view="pageBreakPreview" topLeftCell="A11" zoomScale="98" zoomScaleSheetLayoutView="98" workbookViewId="0">
      <selection activeCell="D19" sqref="D19"/>
    </sheetView>
  </sheetViews>
  <sheetFormatPr defaultColWidth="9.1796875" defaultRowHeight="15.5"/>
  <cols>
    <col min="1" max="1" width="38.7265625" style="1" bestFit="1" customWidth="1"/>
    <col min="2" max="11" width="12.7265625" style="1" customWidth="1"/>
    <col min="12" max="16384" width="9.1796875" style="1"/>
  </cols>
  <sheetData>
    <row r="1" spans="1:11" ht="25.5">
      <c r="A1" s="591" t="s">
        <v>419</v>
      </c>
      <c r="B1" s="591"/>
      <c r="C1" s="591"/>
      <c r="D1" s="591"/>
      <c r="E1" s="591"/>
      <c r="F1" s="591"/>
      <c r="G1" s="591"/>
      <c r="H1" s="591"/>
      <c r="I1" s="591"/>
    </row>
    <row r="2" spans="1:11">
      <c r="A2" s="647" t="s">
        <v>102</v>
      </c>
      <c r="B2" s="648"/>
      <c r="C2" s="648"/>
      <c r="D2" s="648"/>
      <c r="E2" s="648"/>
      <c r="F2" s="648"/>
      <c r="G2" s="648"/>
      <c r="H2" s="648"/>
      <c r="I2" s="648"/>
      <c r="J2" s="648"/>
      <c r="K2" s="648"/>
    </row>
    <row r="3" spans="1:11">
      <c r="A3" s="443"/>
      <c r="B3" s="444" t="s">
        <v>39</v>
      </c>
      <c r="C3" s="444" t="s">
        <v>39</v>
      </c>
      <c r="D3" s="444" t="s">
        <v>39</v>
      </c>
      <c r="E3" s="444" t="s">
        <v>39</v>
      </c>
      <c r="F3" s="444" t="s">
        <v>39</v>
      </c>
      <c r="G3" s="444" t="s">
        <v>39</v>
      </c>
      <c r="H3" s="444" t="s">
        <v>39</v>
      </c>
      <c r="I3" s="444" t="s">
        <v>39</v>
      </c>
      <c r="J3" s="444" t="s">
        <v>39</v>
      </c>
      <c r="K3" s="444" t="s">
        <v>39</v>
      </c>
    </row>
    <row r="4" spans="1:11">
      <c r="A4" s="445" t="s">
        <v>1</v>
      </c>
      <c r="B4" s="446">
        <v>44651</v>
      </c>
      <c r="C4" s="446">
        <v>45016</v>
      </c>
      <c r="D4" s="446">
        <v>45382</v>
      </c>
      <c r="E4" s="446">
        <v>45747</v>
      </c>
      <c r="F4" s="446">
        <v>46112</v>
      </c>
      <c r="G4" s="446">
        <v>46477</v>
      </c>
      <c r="H4" s="446">
        <v>46843</v>
      </c>
      <c r="I4" s="446">
        <v>47208</v>
      </c>
      <c r="J4" s="446">
        <v>47573</v>
      </c>
      <c r="K4" s="446">
        <v>47938</v>
      </c>
    </row>
    <row r="5" spans="1:11" ht="18.5">
      <c r="A5" s="104" t="s">
        <v>68</v>
      </c>
      <c r="B5" s="105"/>
      <c r="C5" s="105"/>
      <c r="D5" s="105"/>
      <c r="E5" s="105"/>
      <c r="F5" s="105"/>
      <c r="G5" s="105"/>
      <c r="H5" s="105"/>
      <c r="I5" s="105"/>
      <c r="J5" s="105"/>
      <c r="K5" s="105"/>
    </row>
    <row r="6" spans="1:11" ht="17">
      <c r="A6" s="106" t="s">
        <v>123</v>
      </c>
      <c r="B6" s="107">
        <f>+'Project BS P2 '!B6+'Project BS'!B6</f>
        <v>1</v>
      </c>
      <c r="C6" s="107">
        <f>+'Project BS P2 '!C6+'Project BS'!C6</f>
        <v>1</v>
      </c>
      <c r="D6" s="107">
        <f>+'Project BS P2 '!D6+'Project BS'!D6</f>
        <v>235</v>
      </c>
      <c r="E6" s="107">
        <f>+'Project BS P2 '!E6+'Project BS'!E6</f>
        <v>305</v>
      </c>
      <c r="F6" s="107">
        <f>+'Project BS P2 '!F6+'Project BS'!F6</f>
        <v>305</v>
      </c>
      <c r="G6" s="107">
        <f>+'Project BS P2 '!G6+'Project BS'!G6</f>
        <v>305</v>
      </c>
      <c r="H6" s="107">
        <f>+'Project BS P2 '!H6+'Project BS'!H6</f>
        <v>305</v>
      </c>
      <c r="I6" s="107">
        <f>+'Project BS P2 '!I6+'Project BS'!I6</f>
        <v>305</v>
      </c>
      <c r="J6" s="107">
        <f>+'Project BS P2 '!J6+'Project BS'!J6</f>
        <v>305</v>
      </c>
      <c r="K6" s="107">
        <f>+'Project BS P2 '!K6+'Project BS'!K6</f>
        <v>305</v>
      </c>
    </row>
    <row r="7" spans="1:11" ht="17">
      <c r="A7" s="106" t="s">
        <v>124</v>
      </c>
      <c r="B7" s="107">
        <f>+B37</f>
        <v>-1.89</v>
      </c>
      <c r="C7" s="107">
        <f t="shared" ref="C7:I7" si="0">+C37</f>
        <v>-0.92000000000005078</v>
      </c>
      <c r="D7" s="107">
        <f t="shared" si="0"/>
        <v>42.059547531829956</v>
      </c>
      <c r="E7" s="107">
        <f t="shared" si="0"/>
        <v>202.30751355288595</v>
      </c>
      <c r="F7" s="107">
        <f t="shared" si="0"/>
        <v>436.56102455202694</v>
      </c>
      <c r="G7" s="107">
        <f t="shared" si="0"/>
        <v>702.28027697973926</v>
      </c>
      <c r="H7" s="107">
        <f t="shared" si="0"/>
        <v>1004.7929546271727</v>
      </c>
      <c r="I7" s="107">
        <f t="shared" si="0"/>
        <v>1306.3848934834564</v>
      </c>
      <c r="J7" s="107">
        <f t="shared" ref="J7:K7" si="1">+J37</f>
        <v>1647.7698957287157</v>
      </c>
      <c r="K7" s="107">
        <f t="shared" si="1"/>
        <v>1960.4408774421427</v>
      </c>
    </row>
    <row r="8" spans="1:11" ht="17">
      <c r="A8" s="106" t="s">
        <v>125</v>
      </c>
      <c r="B8" s="107">
        <f>+'Project BS P2 '!B9+'Project BS'!B8</f>
        <v>157.5</v>
      </c>
      <c r="C8" s="107">
        <f>+'Project BS P2 '!C9+'Project BS'!C8</f>
        <v>317</v>
      </c>
      <c r="D8" s="107">
        <f>+'Project BS P2 '!D9+'Project BS'!D8</f>
        <v>180</v>
      </c>
      <c r="E8" s="107">
        <f>+'Project BS P2 '!E9+'Project BS'!E8</f>
        <v>361.74935342133324</v>
      </c>
      <c r="F8" s="107">
        <f>+'Project BS P2 '!F9+'Project BS'!F8</f>
        <v>361.74935342133324</v>
      </c>
      <c r="G8" s="107">
        <f>+'Project BS P2 '!G9+'Project BS'!G8</f>
        <v>361.74935342133324</v>
      </c>
      <c r="H8" s="107">
        <f>+'Project BS P2 '!H9+'Project BS'!H8</f>
        <v>361.74935342133324</v>
      </c>
      <c r="I8" s="107">
        <f>+'Project BS P2 '!I9+'Project BS'!I8</f>
        <v>361.74935342133324</v>
      </c>
      <c r="J8" s="107">
        <f>+'Project BS P2 '!J9+'Project BS'!J8</f>
        <v>361.74935342133324</v>
      </c>
      <c r="K8" s="107">
        <f>+'Project BS P2 '!K9+'Project BS'!K8</f>
        <v>361.74935342133324</v>
      </c>
    </row>
    <row r="9" spans="1:11" ht="17">
      <c r="A9" s="106" t="s">
        <v>351</v>
      </c>
      <c r="B9" s="107">
        <f>+'Project BS P2 '!B10+'Project BS'!B9</f>
        <v>0</v>
      </c>
      <c r="C9" s="107">
        <f>+'Project BS P2 '!C10+'Project BS'!C9</f>
        <v>4.4000000000000004</v>
      </c>
      <c r="D9" s="107">
        <f>+'Project BS P2 '!D10+'Project BS'!D9</f>
        <v>4.4000000000000004</v>
      </c>
      <c r="E9" s="107">
        <f>+'Project BS P2 '!E10+'Project BS'!E9</f>
        <v>59.4</v>
      </c>
      <c r="F9" s="107">
        <f>+'Project BS P2 '!F10+'Project BS'!F9</f>
        <v>59.4</v>
      </c>
      <c r="G9" s="107">
        <f>+'Project BS P2 '!G10+'Project BS'!G9</f>
        <v>59.4</v>
      </c>
      <c r="H9" s="107">
        <f>+'Project BS P2 '!H10+'Project BS'!H9</f>
        <v>59.4</v>
      </c>
      <c r="I9" s="107">
        <f>+'Project BS P2 '!I10+'Project BS'!I9</f>
        <v>59.4</v>
      </c>
      <c r="J9" s="107">
        <f>+'Project BS P2 '!J10+'Project BS'!J9</f>
        <v>59.4</v>
      </c>
      <c r="K9" s="107">
        <f>+'Project BS P2 '!K10+'Project BS'!K9</f>
        <v>59.4</v>
      </c>
    </row>
    <row r="10" spans="1:11" ht="17">
      <c r="A10" s="106" t="s">
        <v>232</v>
      </c>
      <c r="B10" s="107">
        <f>+'Project BS P2 '!B11+'Project BS'!B10</f>
        <v>0</v>
      </c>
      <c r="C10" s="107">
        <f>+'Project BS P2 '!C11+'Project BS'!C10</f>
        <v>443.14</v>
      </c>
      <c r="D10" s="107">
        <f>+'Project BS P2 '!D11+'Project BS'!D10</f>
        <v>580</v>
      </c>
      <c r="E10" s="107">
        <f>+'Project BS P2 '!E11+'Project BS'!E10</f>
        <v>879.92857142857144</v>
      </c>
      <c r="F10" s="107">
        <f>+'Project BS P2 '!F11+'Project BS'!F10</f>
        <v>683.64285714285711</v>
      </c>
      <c r="G10" s="107">
        <f>+'Project BS P2 '!G11+'Project BS'!G10</f>
        <v>451.35714285714306</v>
      </c>
      <c r="H10" s="107">
        <f>+'Project BS P2 '!H11+'Project BS'!H10</f>
        <v>219.07142857142873</v>
      </c>
      <c r="I10" s="107">
        <f>+'Project BS P2 '!I11+'Project BS'!I10</f>
        <v>62.000000000000156</v>
      </c>
      <c r="J10" s="107">
        <f>+'Project BS P2 '!J11+'Project BS'!J10</f>
        <v>0</v>
      </c>
      <c r="K10" s="107">
        <f>+'Project BS P2 '!K11+'Project BS'!K10</f>
        <v>0</v>
      </c>
    </row>
    <row r="11" spans="1:11" ht="18.5">
      <c r="A11" s="104" t="s">
        <v>69</v>
      </c>
      <c r="B11" s="107"/>
      <c r="C11" s="107"/>
      <c r="D11" s="107"/>
      <c r="E11" s="107"/>
      <c r="F11" s="107"/>
      <c r="G11" s="107"/>
      <c r="H11" s="107"/>
      <c r="I11" s="107"/>
      <c r="J11" s="107"/>
      <c r="K11" s="107"/>
    </row>
    <row r="12" spans="1:11" ht="17">
      <c r="A12" s="106"/>
      <c r="B12" s="107"/>
      <c r="C12" s="107"/>
      <c r="D12" s="107"/>
      <c r="E12" s="107"/>
      <c r="F12" s="107"/>
      <c r="G12" s="107"/>
      <c r="H12" s="107"/>
      <c r="I12" s="107"/>
      <c r="J12" s="107"/>
      <c r="K12" s="107"/>
    </row>
    <row r="13" spans="1:11" ht="17">
      <c r="A13" s="106" t="s">
        <v>128</v>
      </c>
      <c r="B13" s="107">
        <f>+'Project BS P2 '!B14+'Project BS'!B13</f>
        <v>0</v>
      </c>
      <c r="C13" s="107">
        <f>+'Project BS P2 '!C14+'Project BS'!C13</f>
        <v>42.31</v>
      </c>
      <c r="D13" s="107">
        <f>+'Project BS P2 '!D14+'Project BS'!D13</f>
        <v>130</v>
      </c>
      <c r="E13" s="107">
        <f>+'Project BS P2 '!E14+'Project BS'!E13</f>
        <v>230</v>
      </c>
      <c r="F13" s="107">
        <f>+'Project BS P2 '!F14+'Project BS'!F13</f>
        <v>230</v>
      </c>
      <c r="G13" s="107">
        <f>+'Project BS P2 '!G14+'Project BS'!G13</f>
        <v>230</v>
      </c>
      <c r="H13" s="107">
        <f>+'Project BS P2 '!H14+'Project BS'!H13</f>
        <v>230</v>
      </c>
      <c r="I13" s="107">
        <f>+'Project BS P2 '!I14+'Project BS'!I13</f>
        <v>230</v>
      </c>
      <c r="J13" s="107">
        <f>+'Project BS P2 '!J14+'Project BS'!J13</f>
        <v>230</v>
      </c>
      <c r="K13" s="107">
        <f>+'Project BS P2 '!K14+'Project BS'!K13</f>
        <v>230</v>
      </c>
    </row>
    <row r="14" spans="1:11" ht="17">
      <c r="A14" s="106" t="s">
        <v>70</v>
      </c>
      <c r="B14" s="107">
        <f>+'Project BS P2 '!B15+'Project BS'!B14</f>
        <v>0</v>
      </c>
      <c r="C14" s="107">
        <f>+'Project BS P2 '!C15+'Project BS'!C14</f>
        <v>29.42</v>
      </c>
      <c r="D14" s="107">
        <f>+'Project BS P2 '!D15+'Project BS'!D14</f>
        <v>32.275845384157236</v>
      </c>
      <c r="E14" s="107">
        <f>+'Project BS P2 '!E15+'Project BS'!E14</f>
        <v>66.282111673615262</v>
      </c>
      <c r="F14" s="107">
        <f>+'Project BS P2 '!F15+'Project BS'!F14</f>
        <v>103.53692805241215</v>
      </c>
      <c r="G14" s="107">
        <f>+'Project BS P2 '!G15+'Project BS'!G14</f>
        <v>103.92054175104229</v>
      </c>
      <c r="H14" s="107">
        <f>+'Project BS P2 '!H15+'Project BS'!H14</f>
        <v>105.11409416319239</v>
      </c>
      <c r="I14" s="107">
        <f>+'Project BS P2 '!I15+'Project BS'!I14</f>
        <v>102.76970065515187</v>
      </c>
      <c r="J14" s="107">
        <f>+'Project BS P2 '!J15+'Project BS'!J14</f>
        <v>104.52629517569984</v>
      </c>
      <c r="K14" s="107">
        <f>+'Project BS P2 '!K15+'Project BS'!K14</f>
        <v>102.76970065515187</v>
      </c>
    </row>
    <row r="15" spans="1:11" ht="17">
      <c r="A15" s="106" t="s">
        <v>71</v>
      </c>
      <c r="B15" s="107">
        <f>+'Project BS P2 '!B16+'Project BS'!B15</f>
        <v>0</v>
      </c>
      <c r="C15" s="107">
        <f>+'Project BS P2 '!C16+'Project BS'!C15</f>
        <v>18</v>
      </c>
      <c r="D15" s="107">
        <f>+'Project BS P2 '!D16+'Project BS'!D15</f>
        <v>72</v>
      </c>
      <c r="E15" s="107">
        <f>+'Project BS P2 '!E16+'Project BS'!E15</f>
        <v>175.07142857142858</v>
      </c>
      <c r="F15" s="107">
        <f>+'Project BS P2 '!F16+'Project BS'!F15</f>
        <v>196.28571428571433</v>
      </c>
      <c r="G15" s="107">
        <f>+'Project BS P2 '!G16+'Project BS'!G15</f>
        <v>232.28571428571433</v>
      </c>
      <c r="H15" s="107">
        <f>+'Project BS P2 '!H16+'Project BS'!H15</f>
        <v>232.28571428571433</v>
      </c>
      <c r="I15" s="107">
        <f>+'Project BS P2 '!I16+'Project BS'!I15</f>
        <v>157.07142857142858</v>
      </c>
      <c r="J15" s="107">
        <f>+'Project BS P2 '!J16+'Project BS'!J15</f>
        <v>62</v>
      </c>
      <c r="K15" s="107">
        <f>+'Project BS P2 '!K16+'Project BS'!K15</f>
        <v>0</v>
      </c>
    </row>
    <row r="16" spans="1:11" ht="17">
      <c r="A16" s="106" t="s">
        <v>350</v>
      </c>
      <c r="B16" s="107">
        <f>+'Project BS P2 '!B17+'Project BS'!B16</f>
        <v>11.7</v>
      </c>
      <c r="C16" s="107">
        <f>+'Project BS P2 '!C17+'Project BS'!C16</f>
        <v>55.84</v>
      </c>
      <c r="D16" s="107">
        <f>+'Project BS P2 '!D17+'Project BS'!D16</f>
        <v>7.5846260350288244</v>
      </c>
      <c r="E16" s="107">
        <f>+'Project BS P2 '!E17+'Project BS'!E16</f>
        <v>8.2790528272451773</v>
      </c>
      <c r="F16" s="107">
        <f>+'Project BS P2 '!F17+'Project BS'!F16</f>
        <v>31.927090176319187</v>
      </c>
      <c r="G16" s="107">
        <f>+'Project BS P2 '!G17+'Project BS'!G16</f>
        <v>38.538691604890417</v>
      </c>
      <c r="H16" s="107">
        <f>+'Project BS P2 '!H17+'Project BS'!H16</f>
        <v>46.196354878958836</v>
      </c>
      <c r="I16" s="107">
        <f>+'Project BS P2 '!I17+'Project BS'!I16</f>
        <v>47.31504803346165</v>
      </c>
      <c r="J16" s="107">
        <f>+'Project BS P2 '!J17+'Project BS'!J16</f>
        <v>55.746647455045554</v>
      </c>
      <c r="K16" s="107">
        <f>+'Project BS P2 '!K17+'Project BS'!K16</f>
        <v>52.229690890604516</v>
      </c>
    </row>
    <row r="17" spans="1:19">
      <c r="A17" s="151" t="s">
        <v>103</v>
      </c>
      <c r="B17" s="109"/>
      <c r="C17" s="109"/>
      <c r="D17" s="109"/>
      <c r="E17" s="109"/>
      <c r="F17" s="109"/>
      <c r="G17" s="109"/>
      <c r="H17" s="109"/>
      <c r="I17" s="109"/>
      <c r="J17" s="109"/>
      <c r="K17" s="109"/>
    </row>
    <row r="18" spans="1:19">
      <c r="A18" s="445" t="s">
        <v>72</v>
      </c>
      <c r="B18" s="447">
        <f t="shared" ref="B18:I18" si="2">SUM(B6:B16)</f>
        <v>168.31</v>
      </c>
      <c r="C18" s="447">
        <f t="shared" si="2"/>
        <v>910.18999999999983</v>
      </c>
      <c r="D18" s="447">
        <f t="shared" si="2"/>
        <v>1283.320018951016</v>
      </c>
      <c r="E18" s="447">
        <f t="shared" si="2"/>
        <v>2288.0180314750796</v>
      </c>
      <c r="F18" s="447">
        <f t="shared" si="2"/>
        <v>2408.1029676306634</v>
      </c>
      <c r="G18" s="447">
        <f t="shared" si="2"/>
        <v>2484.5317208998631</v>
      </c>
      <c r="H18" s="447">
        <f t="shared" si="2"/>
        <v>2563.6098999477999</v>
      </c>
      <c r="I18" s="447">
        <f t="shared" si="2"/>
        <v>2631.6904241648317</v>
      </c>
      <c r="J18" s="447">
        <f t="shared" ref="J18:K18" si="3">SUM(J6:J16)</f>
        <v>2826.1921917807945</v>
      </c>
      <c r="K18" s="447">
        <f t="shared" si="3"/>
        <v>3071.5896224092326</v>
      </c>
    </row>
    <row r="19" spans="1:19" ht="18.5">
      <c r="A19" s="104" t="s">
        <v>73</v>
      </c>
      <c r="B19" s="109"/>
      <c r="C19" s="109"/>
      <c r="D19" s="109"/>
      <c r="E19" s="109"/>
      <c r="F19" s="109"/>
      <c r="G19" s="109"/>
      <c r="H19" s="109"/>
      <c r="I19" s="109"/>
      <c r="J19" s="109"/>
      <c r="K19" s="109"/>
    </row>
    <row r="20" spans="1:19" ht="17">
      <c r="A20" s="106" t="s">
        <v>74</v>
      </c>
      <c r="B20" s="107">
        <f>+'Project BS P2 '!B21+'Project BS'!B20</f>
        <v>165.07</v>
      </c>
      <c r="C20" s="107">
        <f>+'Project BS P2 '!C21+'Project BS'!C20</f>
        <v>584.13</v>
      </c>
      <c r="D20" s="107">
        <f>+'Project BS P2 '!D21+'Project BS'!D20</f>
        <v>1024.1300000000001</v>
      </c>
      <c r="E20" s="107">
        <f>+'Project BS P2 '!E21+'Project BS'!E20</f>
        <v>1800.880125685333</v>
      </c>
      <c r="F20" s="107">
        <f>+'Project BS P2 '!F21+'Project BS'!F20</f>
        <v>1800.880125685333</v>
      </c>
      <c r="G20" s="107">
        <f>+'Project BS P2 '!G21+'Project BS'!G20</f>
        <v>1800.880125685333</v>
      </c>
      <c r="H20" s="107">
        <f>+'Project BS P2 '!H21+'Project BS'!H20</f>
        <v>1800.880125685333</v>
      </c>
      <c r="I20" s="107">
        <f>+'Project BS P2 '!I21+'Project BS'!I20</f>
        <v>1800.880125685333</v>
      </c>
      <c r="J20" s="107">
        <f>+'Project BS P2 '!J21+'Project BS'!J20</f>
        <v>1800.880125685333</v>
      </c>
      <c r="K20" s="107">
        <f>+'Project BS P2 '!K21+'Project BS'!K20</f>
        <v>1800.880125685333</v>
      </c>
      <c r="L20" s="108"/>
    </row>
    <row r="21" spans="1:19" ht="17">
      <c r="A21" s="106" t="s">
        <v>75</v>
      </c>
      <c r="B21" s="111">
        <f>+'Project BS P2 '!B22+'Project BS'!B21</f>
        <v>0</v>
      </c>
      <c r="C21" s="111">
        <f>+'Project BS P2 '!C22+'Project BS'!C21</f>
        <v>-5.35</v>
      </c>
      <c r="D21" s="111">
        <f>+'Project BS P2 '!D22+'Project BS'!D21</f>
        <v>-35.673935215749999</v>
      </c>
      <c r="E21" s="111">
        <f>+'Project BS P2 '!E22+'Project BS'!E21</f>
        <v>-90.969350997883339</v>
      </c>
      <c r="F21" s="111">
        <f>+'Project BS P2 '!F22+'Project BS'!F21</f>
        <v>-190.85527326341668</v>
      </c>
      <c r="G21" s="111">
        <f>+'Project BS P2 '!G22+'Project BS'!G21</f>
        <v>-290.74119552895002</v>
      </c>
      <c r="H21" s="111">
        <f>+'Project BS P2 '!H22+'Project BS'!H21</f>
        <v>-390.6271177944833</v>
      </c>
      <c r="I21" s="111">
        <f>+'Project BS P2 '!I22+'Project BS'!I21</f>
        <v>-490.51304006001669</v>
      </c>
      <c r="J21" s="111">
        <f>+'Project BS P2 '!J22+'Project BS'!J21</f>
        <v>-590.39896232554997</v>
      </c>
      <c r="K21" s="111">
        <f>+'Project BS P2 '!K22+'Project BS'!K21</f>
        <v>-690.28488459108326</v>
      </c>
    </row>
    <row r="22" spans="1:19" ht="17">
      <c r="A22" s="106" t="s">
        <v>76</v>
      </c>
      <c r="B22" s="107">
        <f t="shared" ref="B22:I22" si="4">+B20+B21</f>
        <v>165.07</v>
      </c>
      <c r="C22" s="107">
        <f t="shared" si="4"/>
        <v>578.78</v>
      </c>
      <c r="D22" s="107">
        <f t="shared" si="4"/>
        <v>988.45606478425009</v>
      </c>
      <c r="E22" s="107">
        <f t="shared" si="4"/>
        <v>1709.9107746874497</v>
      </c>
      <c r="F22" s="107">
        <f t="shared" si="4"/>
        <v>1610.0248524219164</v>
      </c>
      <c r="G22" s="107">
        <f t="shared" si="4"/>
        <v>1510.1389301563831</v>
      </c>
      <c r="H22" s="107">
        <f t="shared" si="4"/>
        <v>1410.2530078908499</v>
      </c>
      <c r="I22" s="107">
        <f t="shared" si="4"/>
        <v>1310.3670856253163</v>
      </c>
      <c r="J22" s="107">
        <f t="shared" ref="J22:K22" si="5">+J20+J21</f>
        <v>1210.4811633597831</v>
      </c>
      <c r="K22" s="107">
        <f t="shared" si="5"/>
        <v>1110.5952410942498</v>
      </c>
    </row>
    <row r="23" spans="1:19" ht="17">
      <c r="A23" s="106" t="s">
        <v>77</v>
      </c>
      <c r="B23" s="107">
        <f>+'Project BS P2 '!B24+'Project BS'!B23</f>
        <v>0</v>
      </c>
      <c r="C23" s="107">
        <f>+'Project BS P2 '!C24+'Project BS'!C23</f>
        <v>0</v>
      </c>
      <c r="D23" s="107">
        <f>+'Project BS P2 '!D24+'Project BS'!D23</f>
        <v>0</v>
      </c>
      <c r="E23" s="107">
        <f>+'Project BS P2 '!E24+'Project BS'!E23</f>
        <v>0</v>
      </c>
      <c r="F23" s="107">
        <f>+'Project BS P2 '!F24+'Project BS'!F23</f>
        <v>0</v>
      </c>
      <c r="G23" s="107">
        <f>+'Project BS P2 '!G24+'Project BS'!G23</f>
        <v>0</v>
      </c>
      <c r="H23" s="107">
        <f>+'Project BS P2 '!H24+'Project BS'!H23</f>
        <v>0</v>
      </c>
      <c r="I23" s="107">
        <f>+'Project BS P2 '!I24+'Project BS'!I23</f>
        <v>0</v>
      </c>
      <c r="J23" s="107">
        <f>+'Project BS P2 '!J24+'Project BS'!J23</f>
        <v>0</v>
      </c>
      <c r="K23" s="107">
        <f>+'Project BS P2 '!K24+'Project BS'!K23</f>
        <v>0</v>
      </c>
    </row>
    <row r="24" spans="1:19" ht="18.5">
      <c r="A24" s="104" t="s">
        <v>78</v>
      </c>
      <c r="B24" s="107"/>
      <c r="C24" s="107"/>
      <c r="D24" s="107"/>
      <c r="E24" s="107"/>
      <c r="F24" s="107"/>
      <c r="G24" s="107"/>
      <c r="H24" s="107"/>
      <c r="I24" s="107"/>
      <c r="J24" s="107"/>
      <c r="K24" s="107"/>
    </row>
    <row r="25" spans="1:19" ht="17">
      <c r="A25" s="106" t="s">
        <v>222</v>
      </c>
      <c r="B25" s="107">
        <f>+'Project BS P2 '!B26+'Project BS'!B25</f>
        <v>0</v>
      </c>
      <c r="C25" s="107">
        <f>+'Project BS P2 '!C26+'Project BS'!C25</f>
        <v>165.03</v>
      </c>
      <c r="D25" s="107">
        <f>+'Project BS P2 '!D26+'Project BS'!D25</f>
        <v>245.03</v>
      </c>
      <c r="E25" s="107">
        <f>+'Project BS P2 '!E26+'Project BS'!E25</f>
        <v>445.03</v>
      </c>
      <c r="F25" s="107">
        <f>+'Project BS P2 '!F26+'Project BS'!F25</f>
        <v>445.03</v>
      </c>
      <c r="G25" s="107">
        <f>+'Project BS P2 '!G26+'Project BS'!G25</f>
        <v>475.03</v>
      </c>
      <c r="H25" s="107">
        <f>+'Project BS P2 '!H26+'Project BS'!H25</f>
        <v>495.03</v>
      </c>
      <c r="I25" s="107">
        <f>+'Project BS P2 '!I26+'Project BS'!I25</f>
        <v>525.03</v>
      </c>
      <c r="J25" s="107">
        <f>+'Project BS P2 '!J26+'Project BS'!J25</f>
        <v>555.03</v>
      </c>
      <c r="K25" s="107">
        <f>+'Project BS P2 '!K26+'Project BS'!K25</f>
        <v>585.03</v>
      </c>
      <c r="L25" s="308"/>
      <c r="M25" s="308"/>
      <c r="N25" s="308"/>
      <c r="O25" s="308"/>
      <c r="P25" s="308"/>
      <c r="Q25" s="308"/>
    </row>
    <row r="26" spans="1:19" ht="17">
      <c r="A26" s="106" t="s">
        <v>99</v>
      </c>
      <c r="B26" s="107">
        <f>+'Project BS P2 '!B27+'Project BS'!B26</f>
        <v>0</v>
      </c>
      <c r="C26" s="107">
        <f>+'Project BS P2 '!C27+'Project BS'!C26</f>
        <v>14.95</v>
      </c>
      <c r="D26" s="107">
        <f>+'Project BS P2 '!D27+'Project BS'!D26</f>
        <v>34.36668054347826</v>
      </c>
      <c r="E26" s="107">
        <f>+'Project BS P2 '!E27+'Project BS'!E26</f>
        <v>80.355587934782591</v>
      </c>
      <c r="F26" s="107">
        <f>+'Project BS P2 '!F27+'Project BS'!F26</f>
        <v>188.39174298913039</v>
      </c>
      <c r="G26" s="107">
        <f>+'Project BS P2 '!G27+'Project BS'!G26</f>
        <v>188.39174298913039</v>
      </c>
      <c r="H26" s="107">
        <f>+'Project BS P2 '!H27+'Project BS'!H26</f>
        <v>192.6563280570652</v>
      </c>
      <c r="I26" s="107">
        <f>+'Project BS P2 '!I27+'Project BS'!I26</f>
        <v>188.39174298913039</v>
      </c>
      <c r="J26" s="107">
        <f>+'Project BS P2 '!J27+'Project BS'!J26</f>
        <v>192.6563280570652</v>
      </c>
      <c r="K26" s="107">
        <f>+'Project BS P2 '!K27+'Project BS'!K26</f>
        <v>188.39174298913039</v>
      </c>
    </row>
    <row r="27" spans="1:19" ht="17">
      <c r="A27" s="106" t="s">
        <v>229</v>
      </c>
      <c r="B27" s="107">
        <f>+'Project BS P2 '!B28+'Project BS'!B27</f>
        <v>0.39</v>
      </c>
      <c r="C27" s="107">
        <f>+'Project BS P2 '!C28+'Project BS'!C27</f>
        <v>36.33</v>
      </c>
      <c r="D27" s="107">
        <f>+'Project BS P2 '!D28+'Project BS'!D27</f>
        <v>5</v>
      </c>
      <c r="E27" s="107">
        <f>+'Project BS P2 '!E28+'Project BS'!E27</f>
        <v>20</v>
      </c>
      <c r="F27" s="107">
        <f>+'Project BS P2 '!F28+'Project BS'!F27</f>
        <v>40</v>
      </c>
      <c r="G27" s="107">
        <f>+'Project BS P2 '!G28+'Project BS'!G27</f>
        <v>150</v>
      </c>
      <c r="H27" s="107">
        <f>+'Project BS P2 '!H28+'Project BS'!H27</f>
        <v>250</v>
      </c>
      <c r="I27" s="107">
        <f>+'Project BS P2 '!I28+'Project BS'!I27</f>
        <v>350</v>
      </c>
      <c r="J27" s="107">
        <f>+'Project BS P2 '!J28+'Project BS'!J27</f>
        <v>500</v>
      </c>
      <c r="K27" s="107">
        <f>+'Project BS P2 '!K28+'Project BS'!K27</f>
        <v>600</v>
      </c>
    </row>
    <row r="28" spans="1:19" ht="17">
      <c r="A28" s="106" t="s">
        <v>79</v>
      </c>
      <c r="B28" s="107">
        <f>+'Project BS P2 '!B29+'Project BS'!B28</f>
        <v>2.85</v>
      </c>
      <c r="C28" s="107">
        <f>+'Project BS P2 '!C29+'Project BS'!C28</f>
        <v>115.1</v>
      </c>
      <c r="D28" s="107">
        <f>+'Project BS P2 '!D29+'Project BS'!D28</f>
        <v>10.467273623287838</v>
      </c>
      <c r="E28" s="107">
        <f>+'Project BS P2 '!E29+'Project BS'!E28</f>
        <v>32.721668852847074</v>
      </c>
      <c r="F28" s="107">
        <f>+'Project BS P2 '!F29+'Project BS'!F28</f>
        <v>124.65637221961606</v>
      </c>
      <c r="G28" s="107">
        <f>+'Project BS P2 '!G29+'Project BS'!G28</f>
        <v>160.97104775434931</v>
      </c>
      <c r="H28" s="107">
        <f>+'Project BS P2 '!H29+'Project BS'!H28</f>
        <v>215.6705639998853</v>
      </c>
      <c r="I28" s="456">
        <f>+'Project BS P2 '!I29+'Project BS'!I28</f>
        <v>257.90159555038611</v>
      </c>
      <c r="J28" s="456">
        <f>+'Project BS P2 '!J29+'Project BS'!J28</f>
        <v>368.02470036394641</v>
      </c>
      <c r="K28" s="456">
        <f>+'Project BS P2 '!K29+'Project BS'!K28</f>
        <v>587.57263832585238</v>
      </c>
    </row>
    <row r="29" spans="1:19" ht="17">
      <c r="A29" s="112"/>
      <c r="B29" s="109"/>
      <c r="C29" s="109"/>
      <c r="D29" s="109"/>
      <c r="E29" s="109"/>
      <c r="F29" s="109"/>
      <c r="G29" s="109"/>
      <c r="H29" s="109"/>
      <c r="I29" s="457"/>
      <c r="J29" s="457"/>
      <c r="K29" s="457"/>
    </row>
    <row r="30" spans="1:19">
      <c r="A30" s="445" t="s">
        <v>80</v>
      </c>
      <c r="B30" s="448">
        <f t="shared" ref="B30:I30" si="6">SUM(B22:B28)</f>
        <v>168.30999999999997</v>
      </c>
      <c r="C30" s="448">
        <f t="shared" si="6"/>
        <v>910.19</v>
      </c>
      <c r="D30" s="448">
        <f t="shared" si="6"/>
        <v>1283.3200189510162</v>
      </c>
      <c r="E30" s="448">
        <f t="shared" si="6"/>
        <v>2288.0180314750792</v>
      </c>
      <c r="F30" s="448">
        <f t="shared" si="6"/>
        <v>2408.102967630663</v>
      </c>
      <c r="G30" s="448">
        <f t="shared" si="6"/>
        <v>2484.5317208998631</v>
      </c>
      <c r="H30" s="448">
        <f t="shared" si="6"/>
        <v>2563.6098999478004</v>
      </c>
      <c r="I30" s="458">
        <f t="shared" si="6"/>
        <v>2631.6904241648326</v>
      </c>
      <c r="J30" s="458">
        <f t="shared" ref="J30:K30" si="7">SUM(J22:J28)</f>
        <v>2826.1921917807945</v>
      </c>
      <c r="K30" s="458">
        <f t="shared" si="7"/>
        <v>3071.5896224092326</v>
      </c>
      <c r="L30" s="459"/>
      <c r="M30" s="459"/>
      <c r="N30" s="459"/>
      <c r="O30" s="459"/>
      <c r="P30" s="459"/>
      <c r="Q30" s="459"/>
      <c r="R30" s="108"/>
      <c r="S30" s="108"/>
    </row>
    <row r="31" spans="1:19">
      <c r="A31" s="114"/>
      <c r="B31" s="115">
        <f t="shared" ref="B31:K31" si="8">+B30-B18</f>
        <v>0</v>
      </c>
      <c r="C31" s="115">
        <f t="shared" si="8"/>
        <v>0</v>
      </c>
      <c r="D31" s="115">
        <f t="shared" si="8"/>
        <v>0</v>
      </c>
      <c r="E31" s="115">
        <f t="shared" si="8"/>
        <v>0</v>
      </c>
      <c r="F31" s="115">
        <f t="shared" si="8"/>
        <v>0</v>
      </c>
      <c r="G31" s="115">
        <f t="shared" si="8"/>
        <v>0</v>
      </c>
      <c r="H31" s="115">
        <f t="shared" si="8"/>
        <v>0</v>
      </c>
      <c r="I31" s="115">
        <f t="shared" si="8"/>
        <v>0</v>
      </c>
      <c r="J31" s="115">
        <f t="shared" si="8"/>
        <v>0</v>
      </c>
      <c r="K31" s="115">
        <f t="shared" si="8"/>
        <v>0</v>
      </c>
    </row>
    <row r="32" spans="1:19">
      <c r="A32" s="649" t="s">
        <v>126</v>
      </c>
      <c r="B32" s="650"/>
      <c r="C32" s="650"/>
      <c r="D32" s="650"/>
      <c r="E32" s="650"/>
      <c r="F32" s="650"/>
      <c r="G32" s="650"/>
      <c r="H32" s="650"/>
      <c r="I32" s="650"/>
      <c r="J32" s="650"/>
      <c r="K32" s="650"/>
    </row>
    <row r="33" spans="1:11">
      <c r="A33" s="445" t="s">
        <v>1</v>
      </c>
      <c r="B33" s="446">
        <v>44651</v>
      </c>
      <c r="C33" s="446">
        <v>45016</v>
      </c>
      <c r="D33" s="446">
        <v>45382</v>
      </c>
      <c r="E33" s="446">
        <v>45747</v>
      </c>
      <c r="F33" s="446">
        <v>46112</v>
      </c>
      <c r="G33" s="446">
        <v>46477</v>
      </c>
      <c r="H33" s="446">
        <v>46843</v>
      </c>
      <c r="I33" s="446">
        <v>47208</v>
      </c>
      <c r="J33" s="446">
        <v>47573</v>
      </c>
      <c r="K33" s="446">
        <v>47938</v>
      </c>
    </row>
    <row r="34" spans="1:11">
      <c r="A34" s="114" t="s">
        <v>127</v>
      </c>
      <c r="B34" s="107">
        <f>+'Project BS P2 '!B35+'Project BS'!B34</f>
        <v>0</v>
      </c>
      <c r="C34" s="107">
        <f>+'Project BS P2 '!C35+'Project BS'!C34</f>
        <v>-1.89</v>
      </c>
      <c r="D34" s="107">
        <f>+'Project BS P2 '!D35+'Project BS'!D34</f>
        <v>-0.92000000000005078</v>
      </c>
      <c r="E34" s="107">
        <f>+'Project BS P2 '!E35+'Project BS'!E34</f>
        <v>42.059547531829956</v>
      </c>
      <c r="F34" s="107">
        <f>+E37</f>
        <v>202.30751355288595</v>
      </c>
      <c r="G34" s="107">
        <f t="shared" ref="G34:I34" si="9">+F37</f>
        <v>436.56102455202694</v>
      </c>
      <c r="H34" s="107">
        <f t="shared" si="9"/>
        <v>702.28027697973926</v>
      </c>
      <c r="I34" s="107">
        <f t="shared" si="9"/>
        <v>1004.7929546271727</v>
      </c>
      <c r="J34" s="107">
        <f t="shared" ref="J34" si="10">+I37</f>
        <v>1306.3848934834564</v>
      </c>
      <c r="K34" s="107">
        <f t="shared" ref="K34" si="11">+J37</f>
        <v>1647.7698957287157</v>
      </c>
    </row>
    <row r="35" spans="1:11">
      <c r="A35" s="114" t="s">
        <v>81</v>
      </c>
      <c r="B35" s="107">
        <f>+'Project BS P2 '!B36+'Project BS'!B35</f>
        <v>-1.89</v>
      </c>
      <c r="C35" s="107">
        <f>+'Project BS P2 '!C36+'Project BS'!C35</f>
        <v>0.96999999999994913</v>
      </c>
      <c r="D35" s="107">
        <f>+'Project BS P2 '!D36+'Project BS'!D35</f>
        <v>42.979547531830008</v>
      </c>
      <c r="E35" s="107">
        <f>+'Project BS P2 '!E36+'Project BS'!E35</f>
        <v>160.24796602105599</v>
      </c>
      <c r="F35" s="107">
        <f>+'Project BS P2 '!F36+'Project BS'!F35</f>
        <v>294.25351099914099</v>
      </c>
      <c r="G35" s="107">
        <f>+'Project BS P2 '!G36+'Project BS'!G35</f>
        <v>331.71925242771238</v>
      </c>
      <c r="H35" s="107">
        <f>+'Project BS P2 '!H36+'Project BS'!H35</f>
        <v>375.11267764743343</v>
      </c>
      <c r="I35" s="107">
        <f>+'Project BS P2 '!I36+'Project BS'!I35</f>
        <v>381.45193885628385</v>
      </c>
      <c r="J35" s="107">
        <f>+'Project BS P2 '!J36+'Project BS'!J35</f>
        <v>429.23100224525933</v>
      </c>
      <c r="K35" s="107">
        <f>+'Project BS P2 '!K36+'Project BS'!K35</f>
        <v>409.3015817134268</v>
      </c>
    </row>
    <row r="36" spans="1:11">
      <c r="A36" s="114" t="s">
        <v>82</v>
      </c>
      <c r="B36" s="107">
        <f>+'Project BS P2 '!B37+'Project BS'!B37</f>
        <v>0</v>
      </c>
      <c r="C36" s="107">
        <f>+'Project BS P2 '!C37+'Project BS'!C37</f>
        <v>0</v>
      </c>
      <c r="D36" s="107">
        <f>+'Project BS P2 '!D37+'Project BS'!D37</f>
        <v>0</v>
      </c>
      <c r="E36" s="107">
        <f>+'Project BS P2 '!E37+'Project BS'!E37</f>
        <v>0</v>
      </c>
      <c r="F36" s="107">
        <f>+'Project BS P2 '!F37+'Project BS'!F37</f>
        <v>60</v>
      </c>
      <c r="G36" s="107">
        <f>+'Project BS P2 '!G37+'Project BS'!G37</f>
        <v>66</v>
      </c>
      <c r="H36" s="107">
        <f>+'Project BS P2 '!H37+'Project BS'!H37</f>
        <v>72.600000000000009</v>
      </c>
      <c r="I36" s="107">
        <f>+'Project BS P2 '!I37+'Project BS'!I37</f>
        <v>79.860000000000014</v>
      </c>
      <c r="J36" s="107">
        <f>+'Project BS P2 '!J37+'Project BS'!J37</f>
        <v>87.846000000000018</v>
      </c>
      <c r="K36" s="107">
        <f>+'Project BS P2 '!K37+'Project BS'!K37</f>
        <v>96.63060000000003</v>
      </c>
    </row>
    <row r="37" spans="1:11">
      <c r="A37" s="445" t="s">
        <v>83</v>
      </c>
      <c r="B37" s="449">
        <f t="shared" ref="B37:I37" si="12">+B34+B35-B36</f>
        <v>-1.89</v>
      </c>
      <c r="C37" s="449">
        <f t="shared" si="12"/>
        <v>-0.92000000000005078</v>
      </c>
      <c r="D37" s="449">
        <f t="shared" si="12"/>
        <v>42.059547531829956</v>
      </c>
      <c r="E37" s="449">
        <f>+E34+E35-E36</f>
        <v>202.30751355288595</v>
      </c>
      <c r="F37" s="449">
        <f t="shared" si="12"/>
        <v>436.56102455202694</v>
      </c>
      <c r="G37" s="449">
        <f t="shared" si="12"/>
        <v>702.28027697973926</v>
      </c>
      <c r="H37" s="449">
        <f t="shared" si="12"/>
        <v>1004.7929546271727</v>
      </c>
      <c r="I37" s="449">
        <f t="shared" si="12"/>
        <v>1306.3848934834564</v>
      </c>
      <c r="J37" s="449">
        <f t="shared" ref="J37:K37" si="13">+J34+J35-J36</f>
        <v>1647.7698957287157</v>
      </c>
      <c r="K37" s="449">
        <f t="shared" si="13"/>
        <v>1960.4408774421427</v>
      </c>
    </row>
    <row r="50" spans="2:2">
      <c r="B50" s="1" t="s">
        <v>31</v>
      </c>
    </row>
  </sheetData>
  <mergeCells count="3">
    <mergeCell ref="A1:I1"/>
    <mergeCell ref="A2:K2"/>
    <mergeCell ref="A32:K32"/>
  </mergeCells>
  <pageMargins left="0.7" right="0.7" top="0.75" bottom="0.75" header="0.3" footer="0.3"/>
  <pageSetup paperSize="9" scale="74" orientation="landscape" r:id="rId1"/>
  <headerFooter>
    <oddHeader>&amp;C&amp;"Book Antiqua,Bold"&amp;13</oddHeader>
    <oddFooter>&amp;C&amp;"-,Bold"&amp;12Prepared by JNR Corporate Advisory Services Private Limited, Contact details: jnr4india@gmail.com, +918602267779, +918962611446</oddFooter>
  </headerFooter>
  <rowBreaks count="2" manualBreakCount="2">
    <brk id="30" max="10" man="1"/>
    <brk id="37"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F4C0-8B12-4639-A511-6F375C1D505A}">
  <sheetPr>
    <tabColor theme="0" tint="-0.34998626667073579"/>
  </sheetPr>
  <dimension ref="A1:N39"/>
  <sheetViews>
    <sheetView showGridLines="0" view="pageBreakPreview" topLeftCell="A3" zoomScaleSheetLayoutView="100" workbookViewId="0">
      <selection activeCell="E35" sqref="E35"/>
    </sheetView>
  </sheetViews>
  <sheetFormatPr defaultColWidth="9.1796875" defaultRowHeight="13"/>
  <cols>
    <col min="1" max="1" width="38.54296875" style="51" customWidth="1"/>
    <col min="2" max="2" width="12.1796875" style="51" customWidth="1"/>
    <col min="3" max="11" width="11" style="51" customWidth="1"/>
    <col min="12" max="16384" width="9.1796875" style="51"/>
  </cols>
  <sheetData>
    <row r="1" spans="1:14" ht="25.5">
      <c r="A1" s="591" t="s">
        <v>420</v>
      </c>
      <c r="B1" s="591"/>
      <c r="C1" s="591"/>
      <c r="D1" s="591"/>
      <c r="E1" s="591"/>
      <c r="F1" s="591"/>
      <c r="G1" s="591"/>
      <c r="H1" s="591"/>
      <c r="I1" s="591"/>
      <c r="J1" s="591"/>
      <c r="K1" s="591"/>
    </row>
    <row r="2" spans="1:14">
      <c r="A2" s="62"/>
      <c r="B2" s="62"/>
      <c r="C2" s="61"/>
      <c r="D2" s="61"/>
      <c r="E2" s="61"/>
      <c r="F2" s="61"/>
      <c r="G2" s="61"/>
      <c r="H2" s="61"/>
      <c r="I2" s="61"/>
      <c r="J2" s="61"/>
      <c r="K2" s="61"/>
    </row>
    <row r="3" spans="1:14">
      <c r="A3" s="651" t="s">
        <v>98</v>
      </c>
      <c r="B3" s="652"/>
      <c r="C3" s="652"/>
      <c r="D3" s="652"/>
      <c r="E3" s="652"/>
      <c r="F3" s="652"/>
      <c r="G3" s="652"/>
      <c r="H3" s="652"/>
      <c r="I3" s="652"/>
      <c r="J3" s="652"/>
      <c r="K3" s="652"/>
    </row>
    <row r="4" spans="1:14">
      <c r="A4" s="450" t="s">
        <v>1</v>
      </c>
      <c r="B4" s="451" t="s">
        <v>333</v>
      </c>
      <c r="C4" s="451" t="s">
        <v>20</v>
      </c>
      <c r="D4" s="451" t="s">
        <v>21</v>
      </c>
      <c r="E4" s="451" t="s">
        <v>27</v>
      </c>
      <c r="F4" s="451" t="s">
        <v>28</v>
      </c>
      <c r="G4" s="451" t="s">
        <v>57</v>
      </c>
      <c r="H4" s="451" t="s">
        <v>138</v>
      </c>
      <c r="I4" s="451" t="s">
        <v>225</v>
      </c>
      <c r="J4" s="451" t="s">
        <v>729</v>
      </c>
      <c r="K4" s="451" t="s">
        <v>730</v>
      </c>
    </row>
    <row r="5" spans="1:14">
      <c r="A5" s="450"/>
      <c r="B5" s="452" t="s">
        <v>332</v>
      </c>
      <c r="C5" s="452" t="s">
        <v>332</v>
      </c>
      <c r="D5" s="452" t="s">
        <v>39</v>
      </c>
      <c r="E5" s="452" t="s">
        <v>39</v>
      </c>
      <c r="F5" s="452" t="s">
        <v>39</v>
      </c>
      <c r="G5" s="452" t="s">
        <v>39</v>
      </c>
      <c r="H5" s="452" t="s">
        <v>39</v>
      </c>
      <c r="I5" s="452" t="s">
        <v>39</v>
      </c>
      <c r="J5" s="452" t="s">
        <v>39</v>
      </c>
      <c r="K5" s="452" t="s">
        <v>39</v>
      </c>
    </row>
    <row r="6" spans="1:14">
      <c r="A6" s="53" t="s">
        <v>156</v>
      </c>
      <c r="B6" s="58">
        <f>+'Project PL  P2'!B6+'Project PL '!B6</f>
        <v>0</v>
      </c>
      <c r="C6" s="58">
        <f>+'Project PL  P2'!C6+'Project PL '!C6</f>
        <v>55.939999999999991</v>
      </c>
      <c r="D6" s="58">
        <f>+'Project PL  P2'!D6+'Project PL '!D6</f>
        <v>687.33361086956529</v>
      </c>
      <c r="E6" s="58">
        <f>+'Project PL  P2'!E6+'Project PL '!E6</f>
        <v>1431.5283559782606</v>
      </c>
      <c r="F6" s="58">
        <f>+'Project PL  P2'!F6+'Project PL '!F6</f>
        <v>2511.8899065217388</v>
      </c>
      <c r="G6" s="58">
        <f>+'Project PL  P2'!G6+'Project PL '!G6</f>
        <v>2511.8899065217388</v>
      </c>
      <c r="H6" s="58">
        <f>+'Project PL  P2'!H6+'Project PL '!H6</f>
        <v>2568.7510407608697</v>
      </c>
      <c r="I6" s="58">
        <f>+'Project PL  P2'!I6+'Project PL '!I6</f>
        <v>2511.8899065217388</v>
      </c>
      <c r="J6" s="58">
        <f>+'Project PL  P2'!J6+'Project PL '!J6</f>
        <v>2568.7510407608697</v>
      </c>
      <c r="K6" s="58">
        <f>+'Project PL  P2'!K6+'Project PL '!K6</f>
        <v>2511.8899065217388</v>
      </c>
    </row>
    <row r="7" spans="1:14">
      <c r="A7" s="64"/>
      <c r="B7" s="58"/>
      <c r="C7" s="58"/>
      <c r="D7" s="58"/>
      <c r="E7" s="58"/>
      <c r="F7" s="58"/>
      <c r="G7" s="58"/>
      <c r="H7" s="58"/>
      <c r="I7" s="58"/>
      <c r="J7" s="58"/>
      <c r="K7" s="58"/>
    </row>
    <row r="8" spans="1:14">
      <c r="A8" s="453" t="s">
        <v>7</v>
      </c>
      <c r="B8" s="454">
        <f t="shared" ref="B8:I8" si="0">+SUM(B6:B6)</f>
        <v>0</v>
      </c>
      <c r="C8" s="454">
        <f t="shared" si="0"/>
        <v>55.939999999999991</v>
      </c>
      <c r="D8" s="454">
        <f t="shared" si="0"/>
        <v>687.33361086956529</v>
      </c>
      <c r="E8" s="454">
        <f t="shared" si="0"/>
        <v>1431.5283559782606</v>
      </c>
      <c r="F8" s="454">
        <f t="shared" si="0"/>
        <v>2511.8899065217388</v>
      </c>
      <c r="G8" s="454">
        <f t="shared" si="0"/>
        <v>2511.8899065217388</v>
      </c>
      <c r="H8" s="454">
        <f t="shared" si="0"/>
        <v>2568.7510407608697</v>
      </c>
      <c r="I8" s="454">
        <f t="shared" si="0"/>
        <v>2511.8899065217388</v>
      </c>
      <c r="J8" s="454">
        <f t="shared" ref="J8:K8" si="1">+SUM(J6:J6)</f>
        <v>2568.7510407608697</v>
      </c>
      <c r="K8" s="454">
        <f t="shared" si="1"/>
        <v>2511.8899065217388</v>
      </c>
    </row>
    <row r="9" spans="1:14">
      <c r="A9" s="57"/>
      <c r="B9" s="57"/>
      <c r="C9" s="57"/>
      <c r="D9" s="57"/>
      <c r="E9" s="57"/>
      <c r="F9" s="57"/>
      <c r="G9" s="57"/>
      <c r="H9" s="57"/>
      <c r="I9" s="57"/>
      <c r="J9" s="57"/>
      <c r="K9" s="57"/>
    </row>
    <row r="10" spans="1:14">
      <c r="A10" s="59" t="s">
        <v>129</v>
      </c>
      <c r="B10" s="58">
        <f>+'Project PL  P2'!B10+'Project PL '!B10</f>
        <v>0.48</v>
      </c>
      <c r="C10" s="58">
        <f>+'Project PL  P2'!C10+'Project PL '!C10</f>
        <v>34.140000000000043</v>
      </c>
      <c r="D10" s="58">
        <f>+'Project PL  P2'!D10+'Project PL '!D10</f>
        <v>536.09550208695646</v>
      </c>
      <c r="E10" s="58">
        <f>+'Project PL  P2'!E10+'Project PL '!E10</f>
        <v>1116.8059213478261</v>
      </c>
      <c r="F10" s="58">
        <f>+'Project PL  P2'!F10+'Project PL '!F10</f>
        <v>1923.0823116521742</v>
      </c>
      <c r="G10" s="58">
        <f>+'Project PL  P2'!G10+'Project PL '!G10</f>
        <v>1897.7496116521741</v>
      </c>
      <c r="H10" s="58">
        <f>+'Project PL  P2'!H10+'Project PL '!H10</f>
        <v>1924.8382288260868</v>
      </c>
      <c r="I10" s="58">
        <f>+'Project PL  P2'!I10+'Project PL '!I10</f>
        <v>1883.7477116521741</v>
      </c>
      <c r="J10" s="58">
        <f>+'Project PL  P2'!J10+'Project PL '!J10</f>
        <v>1905.1196116521742</v>
      </c>
      <c r="K10" s="58">
        <f>+'Project PL  P2'!K10+'Project PL '!K10</f>
        <v>1883.7477116521741</v>
      </c>
      <c r="L10" s="51">
        <f>49.58-5.11-5.35</f>
        <v>39.119999999999997</v>
      </c>
    </row>
    <row r="11" spans="1:14">
      <c r="A11" s="59" t="s">
        <v>305</v>
      </c>
      <c r="B11" s="58">
        <f>+'Project PL  P2'!B11+'Project PL '!B11</f>
        <v>1.4</v>
      </c>
      <c r="C11" s="58">
        <f>+'Project PL  P2'!C11+'Project PL '!C11</f>
        <v>4.97</v>
      </c>
      <c r="D11" s="58">
        <f>+'Project PL  P2'!D11+'Project PL '!D11</f>
        <v>7</v>
      </c>
      <c r="E11" s="58">
        <f>+'Project PL  P2'!E11+'Project PL '!E11</f>
        <v>10</v>
      </c>
      <c r="F11" s="58">
        <f>+'Project PL  P2'!F11+'Project PL '!F11</f>
        <v>20</v>
      </c>
      <c r="G11" s="58">
        <f>+'Project PL  P2'!G11+'Project PL '!G11</f>
        <v>20</v>
      </c>
      <c r="H11" s="58">
        <f>+'Project PL  P2'!H11+'Project PL '!H11</f>
        <v>20</v>
      </c>
      <c r="I11" s="58">
        <f>+'Project PL  P2'!I11+'Project PL '!I11</f>
        <v>20</v>
      </c>
      <c r="J11" s="58">
        <f>+'Project PL  P2'!J11+'Project PL '!J11</f>
        <v>20</v>
      </c>
      <c r="K11" s="58">
        <f>+'Project PL  P2'!K11+'Project PL '!K11</f>
        <v>20</v>
      </c>
    </row>
    <row r="12" spans="1:14" ht="14.25" customHeight="1">
      <c r="A12" s="54"/>
      <c r="B12" s="63"/>
      <c r="C12" s="63"/>
      <c r="D12" s="63"/>
      <c r="E12" s="63"/>
      <c r="F12" s="63"/>
      <c r="G12" s="63"/>
      <c r="H12" s="63"/>
      <c r="I12" s="63"/>
      <c r="J12" s="63"/>
      <c r="K12" s="63"/>
    </row>
    <row r="13" spans="1:14">
      <c r="A13" s="453" t="s">
        <v>58</v>
      </c>
      <c r="B13" s="455">
        <f t="shared" ref="B13:I13" si="2">+B8-B10-B11</f>
        <v>-1.88</v>
      </c>
      <c r="C13" s="455">
        <f t="shared" si="2"/>
        <v>16.829999999999949</v>
      </c>
      <c r="D13" s="455">
        <f t="shared" si="2"/>
        <v>144.23810878260883</v>
      </c>
      <c r="E13" s="455">
        <f t="shared" si="2"/>
        <v>304.72243463043446</v>
      </c>
      <c r="F13" s="455">
        <f t="shared" si="2"/>
        <v>568.80759486956458</v>
      </c>
      <c r="G13" s="455">
        <f t="shared" si="2"/>
        <v>594.14029486956474</v>
      </c>
      <c r="H13" s="455">
        <f t="shared" si="2"/>
        <v>623.91281193478289</v>
      </c>
      <c r="I13" s="455">
        <f t="shared" si="2"/>
        <v>608.14219486956472</v>
      </c>
      <c r="J13" s="455">
        <f t="shared" ref="J13:K13" si="3">+J8-J10-J11</f>
        <v>643.63142910869556</v>
      </c>
      <c r="K13" s="455">
        <f t="shared" si="3"/>
        <v>608.14219486956472</v>
      </c>
      <c r="L13" s="67"/>
      <c r="M13" s="67"/>
      <c r="N13" s="67"/>
    </row>
    <row r="14" spans="1:14" s="89" customFormat="1">
      <c r="A14" s="54"/>
      <c r="B14" s="54"/>
      <c r="C14" s="54"/>
      <c r="D14" s="54"/>
      <c r="E14" s="54"/>
      <c r="F14" s="54"/>
      <c r="G14" s="54"/>
      <c r="H14" s="54"/>
      <c r="I14" s="54"/>
      <c r="J14" s="54"/>
      <c r="K14" s="54"/>
    </row>
    <row r="15" spans="1:14" s="89" customFormat="1">
      <c r="A15" s="54" t="s">
        <v>59</v>
      </c>
      <c r="B15" s="58">
        <f>+'Project PL  P2'!B15+'Project PL '!B15</f>
        <v>0</v>
      </c>
      <c r="C15" s="58">
        <f>+'Project PL  P2'!C15+'Project PL '!C15</f>
        <v>5.35</v>
      </c>
      <c r="D15" s="58">
        <f>+'Project PL  P2'!D15+'Project PL '!D15</f>
        <v>30.323935215750002</v>
      </c>
      <c r="E15" s="58">
        <f>+'Project PL  P2'!E15+'Project PL '!E15</f>
        <v>55.295415782133333</v>
      </c>
      <c r="F15" s="58">
        <f>+'Project PL  P2'!F15+'Project PL '!F15</f>
        <v>99.885922265533338</v>
      </c>
      <c r="G15" s="58">
        <f>+'Project PL  P2'!G15+'Project PL '!G15</f>
        <v>99.885922265533338</v>
      </c>
      <c r="H15" s="58">
        <f>+'Project PL  P2'!H15+'Project PL '!H15</f>
        <v>99.885922265533338</v>
      </c>
      <c r="I15" s="58">
        <f>+'Project PL  P2'!I15+'Project PL '!I15</f>
        <v>99.885922265533338</v>
      </c>
      <c r="J15" s="58">
        <f>+'Project PL  P2'!J15+'Project PL '!J15</f>
        <v>99.885922265533338</v>
      </c>
      <c r="K15" s="58">
        <f>+'Project PL  P2'!K15+'Project PL '!K15</f>
        <v>99.885922265533338</v>
      </c>
    </row>
    <row r="16" spans="1:14" s="89" customFormat="1">
      <c r="A16" s="54"/>
      <c r="B16" s="54"/>
      <c r="C16" s="54"/>
      <c r="D16" s="54"/>
      <c r="E16" s="54"/>
      <c r="F16" s="54"/>
      <c r="G16" s="54"/>
      <c r="H16" s="54"/>
      <c r="I16" s="54"/>
      <c r="J16" s="54"/>
      <c r="K16" s="54"/>
    </row>
    <row r="17" spans="1:14" s="89" customFormat="1">
      <c r="A17" s="453" t="s">
        <v>61</v>
      </c>
      <c r="B17" s="455">
        <f t="shared" ref="B17:I17" si="4">+B13-B15</f>
        <v>-1.88</v>
      </c>
      <c r="C17" s="455">
        <f t="shared" si="4"/>
        <v>11.479999999999949</v>
      </c>
      <c r="D17" s="455">
        <f t="shared" si="4"/>
        <v>113.91417356685884</v>
      </c>
      <c r="E17" s="455">
        <f t="shared" si="4"/>
        <v>249.42701884830115</v>
      </c>
      <c r="F17" s="455">
        <f t="shared" si="4"/>
        <v>468.92167260403124</v>
      </c>
      <c r="G17" s="455">
        <f t="shared" si="4"/>
        <v>494.2543726040314</v>
      </c>
      <c r="H17" s="455">
        <f t="shared" si="4"/>
        <v>524.02688966924961</v>
      </c>
      <c r="I17" s="455">
        <f t="shared" si="4"/>
        <v>508.25627260403138</v>
      </c>
      <c r="J17" s="455">
        <f t="shared" ref="J17:K17" si="5">+J13-J15</f>
        <v>543.74550684316227</v>
      </c>
      <c r="K17" s="455">
        <f t="shared" si="5"/>
        <v>508.25627260403138</v>
      </c>
    </row>
    <row r="18" spans="1:14" s="89" customFormat="1">
      <c r="A18" s="54"/>
      <c r="B18" s="54"/>
      <c r="C18" s="54"/>
      <c r="D18" s="54"/>
      <c r="E18" s="54"/>
      <c r="F18" s="54"/>
      <c r="G18" s="54"/>
      <c r="H18" s="54"/>
      <c r="I18" s="54"/>
      <c r="J18" s="54"/>
      <c r="K18" s="54"/>
    </row>
    <row r="19" spans="1:14">
      <c r="A19" s="69" t="s">
        <v>38</v>
      </c>
      <c r="B19" s="70"/>
      <c r="C19" s="70"/>
      <c r="D19" s="70"/>
      <c r="E19" s="70"/>
      <c r="F19" s="70"/>
      <c r="G19" s="70"/>
      <c r="H19" s="70"/>
      <c r="I19" s="70"/>
      <c r="J19" s="70"/>
      <c r="K19" s="70"/>
    </row>
    <row r="20" spans="1:14">
      <c r="A20" s="54" t="s">
        <v>230</v>
      </c>
      <c r="B20" s="58">
        <f>+'Project PL  P2'!B20+'Project PL '!B20</f>
        <v>0</v>
      </c>
      <c r="C20" s="58">
        <f>+'Project PL  P2'!C20+'Project PL '!C20</f>
        <v>4.1399999999999997</v>
      </c>
      <c r="D20" s="58">
        <f>+'Project PL  P2'!D20+'Project PL '!D20</f>
        <v>49.35</v>
      </c>
      <c r="E20" s="58">
        <f>+'Project PL  P2'!E20+'Project PL '!E20</f>
        <v>44.4</v>
      </c>
      <c r="F20" s="58">
        <f>+'Project PL  P2'!F20+'Project PL '!F20</f>
        <v>97.741071428571445</v>
      </c>
      <c r="G20" s="58">
        <f>+'Project PL  P2'!G20+'Project PL '!G20</f>
        <v>78.996428571428595</v>
      </c>
      <c r="H20" s="58">
        <f>+'Project PL  P2'!H20+'Project PL '!H20</f>
        <v>57.71785714285717</v>
      </c>
      <c r="I20" s="58">
        <f>+'Project PL  P2'!I20+'Project PL '!I20</f>
        <v>34.489285714285728</v>
      </c>
      <c r="J20" s="58">
        <f>+'Project PL  P2'!J20+'Project PL '!J20</f>
        <v>13.767857142857157</v>
      </c>
      <c r="K20" s="58">
        <f>+'Project PL  P2'!K20+'Project PL '!K20</f>
        <v>1.7250000000000001</v>
      </c>
    </row>
    <row r="21" spans="1:14">
      <c r="A21" s="54" t="s">
        <v>346</v>
      </c>
      <c r="B21" s="58">
        <f>+'Project PL  P2'!B21+'Project PL '!B21</f>
        <v>0.01</v>
      </c>
      <c r="C21" s="58">
        <f>+'Project PL  P2'!C21+'Project PL '!C21</f>
        <v>0.43</v>
      </c>
      <c r="D21" s="58">
        <f>+'Project PL  P2'!D21+'Project PL '!D21</f>
        <v>1</v>
      </c>
      <c r="E21" s="58">
        <f>+'Project PL  P2'!E21+'Project PL '!E21</f>
        <v>1</v>
      </c>
      <c r="F21" s="58">
        <f>+'Project PL  P2'!F21+'Project PL '!F21</f>
        <v>2</v>
      </c>
      <c r="G21" s="58">
        <f>+'Project PL  P2'!G21+'Project PL '!G21</f>
        <v>2</v>
      </c>
      <c r="H21" s="58">
        <f>+'Project PL  P2'!H21+'Project PL '!H21</f>
        <v>2</v>
      </c>
      <c r="I21" s="58">
        <f>+'Project PL  P2'!I21+'Project PL '!I21</f>
        <v>2</v>
      </c>
      <c r="J21" s="58">
        <f>+'Project PL  P2'!J21+'Project PL '!J21</f>
        <v>2</v>
      </c>
      <c r="K21" s="58">
        <f>+'Project PL  P2'!K21+'Project PL '!K21</f>
        <v>2</v>
      </c>
    </row>
    <row r="22" spans="1:14">
      <c r="A22" s="54" t="s">
        <v>231</v>
      </c>
      <c r="B22" s="58">
        <f>+'Project PL  P2'!B22+'Project PL '!B22</f>
        <v>0</v>
      </c>
      <c r="C22" s="58">
        <f>+'Project PL  P2'!C22+'Project PL '!C22</f>
        <v>0.55000000000000004</v>
      </c>
      <c r="D22" s="58">
        <f>+'Project PL  P2'!D22+'Project PL '!D22</f>
        <v>13</v>
      </c>
      <c r="E22" s="58">
        <f>+'Project PL  P2'!E22+'Project PL '!E22</f>
        <v>15.5</v>
      </c>
      <c r="F22" s="58">
        <f>+'Project PL  P2'!F22+'Project PL '!F22</f>
        <v>23</v>
      </c>
      <c r="G22" s="58">
        <f>+'Project PL  P2'!G22+'Project PL '!G22</f>
        <v>23</v>
      </c>
      <c r="H22" s="58">
        <f>+'Project PL  P2'!H22+'Project PL '!H22</f>
        <v>23</v>
      </c>
      <c r="I22" s="58">
        <f>+'Project PL  P2'!I22+'Project PL '!I22</f>
        <v>23</v>
      </c>
      <c r="J22" s="58">
        <f>+'Project PL  P2'!J22+'Project PL '!J22</f>
        <v>23</v>
      </c>
      <c r="K22" s="58">
        <f>+'Project PL  P2'!K22+'Project PL '!K22</f>
        <v>23</v>
      </c>
    </row>
    <row r="23" spans="1:14">
      <c r="A23" s="63"/>
      <c r="B23" s="63"/>
      <c r="C23" s="63"/>
      <c r="D23" s="63"/>
      <c r="E23" s="63"/>
      <c r="F23" s="63"/>
      <c r="G23" s="63"/>
      <c r="H23" s="63"/>
      <c r="I23" s="63"/>
      <c r="J23" s="63"/>
      <c r="K23" s="63"/>
    </row>
    <row r="24" spans="1:14">
      <c r="A24" s="454" t="s">
        <v>62</v>
      </c>
      <c r="B24" s="454">
        <f t="shared" ref="B24" si="6">+B17-SUM(B20:B22)</f>
        <v>-1.89</v>
      </c>
      <c r="C24" s="454">
        <f t="shared" ref="C24:I24" si="7">+C17-SUM(C20:C22)</f>
        <v>6.3599999999999497</v>
      </c>
      <c r="D24" s="454">
        <f t="shared" si="7"/>
        <v>50.564173566858834</v>
      </c>
      <c r="E24" s="454">
        <f t="shared" si="7"/>
        <v>188.52701884830114</v>
      </c>
      <c r="F24" s="454">
        <f t="shared" si="7"/>
        <v>346.1806011754598</v>
      </c>
      <c r="G24" s="454">
        <f t="shared" si="7"/>
        <v>390.25794403260284</v>
      </c>
      <c r="H24" s="454">
        <f t="shared" si="7"/>
        <v>441.30903252639246</v>
      </c>
      <c r="I24" s="454">
        <f t="shared" si="7"/>
        <v>448.76698688974568</v>
      </c>
      <c r="J24" s="454">
        <f t="shared" ref="J24:K24" si="8">+J17-SUM(J20:J22)</f>
        <v>504.97764970030511</v>
      </c>
      <c r="K24" s="454">
        <f t="shared" si="8"/>
        <v>481.53127260403136</v>
      </c>
    </row>
    <row r="25" spans="1:14">
      <c r="A25" s="72"/>
      <c r="B25" s="72"/>
      <c r="C25" s="72"/>
      <c r="D25" s="72"/>
      <c r="E25" s="72"/>
      <c r="F25" s="72"/>
      <c r="G25" s="72"/>
      <c r="H25" s="72"/>
      <c r="I25" s="72"/>
      <c r="J25" s="72"/>
      <c r="K25" s="72"/>
    </row>
    <row r="26" spans="1:14">
      <c r="A26" s="72" t="s">
        <v>221</v>
      </c>
      <c r="B26" s="58">
        <f>+'Project PL  P2'!B26+'Project PL '!B26</f>
        <v>0</v>
      </c>
      <c r="C26" s="58">
        <f>+'Project PL  P2'!C26+'Project PL '!C26</f>
        <v>5.3900000000000006</v>
      </c>
      <c r="D26" s="58">
        <f>+'Project PL  P2'!D26+'Project PL '!D26</f>
        <v>7.5846260350288244</v>
      </c>
      <c r="E26" s="58">
        <f>+'Project PL  P2'!E26+'Project PL '!E26</f>
        <v>28.279052827245177</v>
      </c>
      <c r="F26" s="58">
        <f>+'Project PL  P2'!F26+'Project PL '!F26</f>
        <v>51.927090176318984</v>
      </c>
      <c r="G26" s="58">
        <f>+'Project PL  P2'!G26+'Project PL '!G26</f>
        <v>58.538691604890417</v>
      </c>
      <c r="H26" s="58">
        <f>+'Project PL  P2'!H26+'Project PL '!H26</f>
        <v>66.196354878958829</v>
      </c>
      <c r="I26" s="58">
        <f>+'Project PL  P2'!I26+'Project PL '!I26</f>
        <v>67.315048033461849</v>
      </c>
      <c r="J26" s="58">
        <f>+'Project PL  P2'!J26+'Project PL '!J26</f>
        <v>75.746647455045746</v>
      </c>
      <c r="K26" s="58">
        <f>+'Project PL  P2'!K26+'Project PL '!K26</f>
        <v>72.229690890604715</v>
      </c>
    </row>
    <row r="27" spans="1:14">
      <c r="A27" s="72"/>
      <c r="B27" s="72"/>
      <c r="C27" s="72"/>
      <c r="D27" s="72"/>
      <c r="E27" s="72"/>
      <c r="F27" s="72"/>
      <c r="G27" s="72"/>
      <c r="H27" s="72"/>
      <c r="I27" s="72"/>
      <c r="J27" s="72"/>
      <c r="K27" s="72"/>
    </row>
    <row r="28" spans="1:14">
      <c r="A28" s="454" t="s">
        <v>40</v>
      </c>
      <c r="B28" s="454">
        <f t="shared" ref="B28:I28" si="9">+B24-B26</f>
        <v>-1.89</v>
      </c>
      <c r="C28" s="454">
        <f t="shared" si="9"/>
        <v>0.96999999999994913</v>
      </c>
      <c r="D28" s="454">
        <f t="shared" si="9"/>
        <v>42.979547531830008</v>
      </c>
      <c r="E28" s="454">
        <f t="shared" si="9"/>
        <v>160.24796602105596</v>
      </c>
      <c r="F28" s="454">
        <f t="shared" si="9"/>
        <v>294.25351099914081</v>
      </c>
      <c r="G28" s="454">
        <f t="shared" si="9"/>
        <v>331.71925242771243</v>
      </c>
      <c r="H28" s="454">
        <f t="shared" si="9"/>
        <v>375.11267764743366</v>
      </c>
      <c r="I28" s="454">
        <f t="shared" si="9"/>
        <v>381.45193885628385</v>
      </c>
      <c r="J28" s="454">
        <f t="shared" ref="J28:K28" si="10">+J24-J26</f>
        <v>429.23100224525933</v>
      </c>
      <c r="K28" s="454">
        <f t="shared" si="10"/>
        <v>409.30158171342663</v>
      </c>
      <c r="N28" s="68"/>
    </row>
    <row r="29" spans="1:14">
      <c r="A29" s="71"/>
      <c r="B29" s="78"/>
      <c r="C29" s="78"/>
      <c r="D29" s="78"/>
      <c r="E29" s="78"/>
      <c r="F29" s="78"/>
      <c r="G29" s="78"/>
      <c r="H29" s="78"/>
      <c r="I29" s="78"/>
      <c r="J29" s="78"/>
      <c r="K29" s="78"/>
    </row>
    <row r="30" spans="1:14">
      <c r="A30" s="454" t="s">
        <v>65</v>
      </c>
      <c r="B30" s="454">
        <f>+B28+B20+B15+B22</f>
        <v>-1.89</v>
      </c>
      <c r="C30" s="454">
        <f>+C28+C20+C15+C22</f>
        <v>11.009999999999948</v>
      </c>
      <c r="D30" s="454">
        <f t="shared" ref="D30:I30" si="11">+D28+D20+D15+D22</f>
        <v>135.65348274758</v>
      </c>
      <c r="E30" s="454">
        <f t="shared" si="11"/>
        <v>275.44338180318931</v>
      </c>
      <c r="F30" s="454">
        <f t="shared" si="11"/>
        <v>514.8805046932456</v>
      </c>
      <c r="G30" s="454">
        <f t="shared" si="11"/>
        <v>533.6016032646744</v>
      </c>
      <c r="H30" s="454">
        <f t="shared" si="11"/>
        <v>555.71645705582409</v>
      </c>
      <c r="I30" s="454">
        <f t="shared" si="11"/>
        <v>538.82714683610288</v>
      </c>
      <c r="J30" s="454">
        <f t="shared" ref="J30:K30" si="12">+J28+J20+J15+J22</f>
        <v>565.88478165364984</v>
      </c>
      <c r="K30" s="454">
        <f t="shared" si="12"/>
        <v>533.91250397895999</v>
      </c>
      <c r="N30" s="68"/>
    </row>
    <row r="31" spans="1:14">
      <c r="A31" s="454" t="s">
        <v>54</v>
      </c>
      <c r="B31" s="454">
        <f>+'Project PL  P2'!B31+'Project PL '!B31</f>
        <v>0</v>
      </c>
      <c r="C31" s="454">
        <f>+'Project PL  P2'!C31+'Project PL '!C31</f>
        <v>0</v>
      </c>
      <c r="D31" s="454">
        <f>+'Project PL  P2'!D31+'Project PL '!D31</f>
        <v>18</v>
      </c>
      <c r="E31" s="454">
        <f>+'Project PL  P2'!E31+'Project PL '!E31</f>
        <v>72</v>
      </c>
      <c r="F31" s="454">
        <f>+'Project PL  P2'!F31+'Project PL '!F31</f>
        <v>175.07142857142858</v>
      </c>
      <c r="G31" s="454">
        <f>+'Project PL  P2'!G31+'Project PL '!G31</f>
        <v>196.28571428571433</v>
      </c>
      <c r="H31" s="454">
        <f>+'Project PL  P2'!H31+'Project PL '!H31</f>
        <v>232.28571428571433</v>
      </c>
      <c r="I31" s="454">
        <f>+'Project PL  P2'!I31+'Project PL '!I31</f>
        <v>232.28571428571433</v>
      </c>
      <c r="J31" s="454">
        <f>+'Project PL  P2'!J31+'Project PL '!J31</f>
        <v>157.07142857142858</v>
      </c>
      <c r="K31" s="454">
        <f>+'Project PL  P2'!K31+'Project PL '!K31</f>
        <v>62</v>
      </c>
    </row>
    <row r="32" spans="1:14">
      <c r="A32" s="454" t="s">
        <v>66</v>
      </c>
      <c r="B32" s="454">
        <f>+B20+B22</f>
        <v>0</v>
      </c>
      <c r="C32" s="454">
        <f>+C20+C22</f>
        <v>4.6899999999999995</v>
      </c>
      <c r="D32" s="454">
        <f t="shared" ref="D32:I32" si="13">+D20+D22</f>
        <v>62.35</v>
      </c>
      <c r="E32" s="454">
        <f t="shared" si="13"/>
        <v>59.9</v>
      </c>
      <c r="F32" s="454">
        <f t="shared" si="13"/>
        <v>120.74107142857144</v>
      </c>
      <c r="G32" s="454">
        <f t="shared" si="13"/>
        <v>101.99642857142859</v>
      </c>
      <c r="H32" s="454">
        <f t="shared" si="13"/>
        <v>80.71785714285717</v>
      </c>
      <c r="I32" s="454">
        <f t="shared" si="13"/>
        <v>57.489285714285728</v>
      </c>
      <c r="J32" s="454">
        <f t="shared" ref="J32:K32" si="14">+J20+J22</f>
        <v>36.767857142857153</v>
      </c>
      <c r="K32" s="454">
        <f t="shared" si="14"/>
        <v>24.725000000000001</v>
      </c>
    </row>
    <row r="33" spans="1:11">
      <c r="A33" s="454" t="s">
        <v>67</v>
      </c>
      <c r="B33" s="454">
        <f t="shared" ref="B33:I33" si="15">+B31+B32</f>
        <v>0</v>
      </c>
      <c r="C33" s="454">
        <f t="shared" si="15"/>
        <v>4.6899999999999995</v>
      </c>
      <c r="D33" s="454">
        <f t="shared" si="15"/>
        <v>80.349999999999994</v>
      </c>
      <c r="E33" s="454">
        <f t="shared" si="15"/>
        <v>131.9</v>
      </c>
      <c r="F33" s="454">
        <f t="shared" si="15"/>
        <v>295.8125</v>
      </c>
      <c r="G33" s="454">
        <f t="shared" si="15"/>
        <v>298.28214285714296</v>
      </c>
      <c r="H33" s="454">
        <f t="shared" si="15"/>
        <v>313.00357142857149</v>
      </c>
      <c r="I33" s="454">
        <f t="shared" si="15"/>
        <v>289.77500000000009</v>
      </c>
      <c r="J33" s="454">
        <f t="shared" ref="J33:K33" si="16">+J31+J32</f>
        <v>193.83928571428572</v>
      </c>
      <c r="K33" s="454">
        <f t="shared" si="16"/>
        <v>86.724999999999994</v>
      </c>
    </row>
    <row r="34" spans="1:11">
      <c r="A34" s="454" t="s">
        <v>64</v>
      </c>
      <c r="B34" s="454" t="e">
        <f t="shared" ref="B34:I34" si="17">+B30/B33</f>
        <v>#DIV/0!</v>
      </c>
      <c r="C34" s="454">
        <f t="shared" si="17"/>
        <v>2.3475479744136352</v>
      </c>
      <c r="D34" s="454">
        <f t="shared" si="17"/>
        <v>1.6882822992853765</v>
      </c>
      <c r="E34" s="454">
        <f t="shared" si="17"/>
        <v>2.0882743123820267</v>
      </c>
      <c r="F34" s="454">
        <f t="shared" si="17"/>
        <v>1.740563717534741</v>
      </c>
      <c r="G34" s="454">
        <f t="shared" si="17"/>
        <v>1.7889156828279646</v>
      </c>
      <c r="H34" s="454">
        <f t="shared" si="17"/>
        <v>1.7754316812408657</v>
      </c>
      <c r="I34" s="454">
        <f t="shared" si="17"/>
        <v>1.8594673344356922</v>
      </c>
      <c r="J34" s="454">
        <f t="shared" ref="J34:K34" si="18">+J30/J33</f>
        <v>2.9193503245144532</v>
      </c>
      <c r="K34" s="454">
        <f t="shared" si="18"/>
        <v>6.1563851712765638</v>
      </c>
    </row>
    <row r="35" spans="1:11">
      <c r="D35" s="68"/>
      <c r="E35" s="68"/>
      <c r="F35" s="68"/>
      <c r="G35" s="68"/>
      <c r="H35" s="68"/>
      <c r="I35" s="68"/>
      <c r="J35" s="68"/>
      <c r="K35" s="68"/>
    </row>
    <row r="36" spans="1:11">
      <c r="D36" s="68"/>
      <c r="E36" s="68"/>
      <c r="F36" s="68"/>
      <c r="G36" s="68"/>
      <c r="H36" s="68"/>
      <c r="I36" s="68"/>
      <c r="J36" s="68"/>
      <c r="K36" s="68"/>
    </row>
    <row r="37" spans="1:11">
      <c r="A37" s="84"/>
      <c r="B37" s="84"/>
      <c r="C37" s="68"/>
      <c r="D37" s="68"/>
      <c r="E37" s="68"/>
      <c r="F37" s="68"/>
      <c r="G37" s="68"/>
      <c r="H37" s="68"/>
      <c r="I37" s="68"/>
      <c r="J37" s="68"/>
      <c r="K37" s="68"/>
    </row>
    <row r="38" spans="1:11">
      <c r="C38" s="68"/>
      <c r="D38" s="68"/>
      <c r="E38" s="68"/>
      <c r="F38" s="68"/>
      <c r="G38" s="68"/>
      <c r="H38" s="68"/>
      <c r="I38" s="68"/>
      <c r="J38" s="68"/>
      <c r="K38" s="68"/>
    </row>
    <row r="39" spans="1:11">
      <c r="C39" s="68"/>
      <c r="D39" s="68"/>
      <c r="E39" s="68"/>
      <c r="F39" s="68"/>
      <c r="G39" s="68"/>
      <c r="H39" s="68"/>
      <c r="I39" s="68"/>
      <c r="J39" s="68"/>
      <c r="K39" s="68"/>
    </row>
  </sheetData>
  <mergeCells count="2">
    <mergeCell ref="A1:K1"/>
    <mergeCell ref="A3:K3"/>
  </mergeCells>
  <pageMargins left="0.7" right="0.7" top="0.75" bottom="0.75" header="0.3" footer="0.3"/>
  <pageSetup paperSize="9" scale="87" orientation="landscape" r:id="rId1"/>
  <headerFooter>
    <oddHeader>&amp;C&amp;"Book Antiqua,Bold"&amp;13</oddHeader>
    <oddFooter>&amp;C&amp;"-,Bold"&amp;12Prepared by JNR Corporate Advisory Services Private Limited, Contact details: jnr4india@gmail.com, +918602267779, +918962611446</oddFooter>
  </headerFooter>
  <rowBreaks count="1" manualBreakCount="1">
    <brk id="35"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1A3F-CED6-402F-B1E5-16C4225FB36D}">
  <sheetPr>
    <tabColor theme="0" tint="-0.499984740745262"/>
  </sheetPr>
  <dimension ref="A1:I14"/>
  <sheetViews>
    <sheetView showGridLines="0" view="pageBreakPreview" zoomScaleSheetLayoutView="100" workbookViewId="0">
      <selection activeCell="B4" sqref="B4"/>
    </sheetView>
  </sheetViews>
  <sheetFormatPr defaultRowHeight="14.5"/>
  <cols>
    <col min="1" max="1" width="44" customWidth="1"/>
    <col min="3" max="3" width="10.81640625" customWidth="1"/>
  </cols>
  <sheetData>
    <row r="1" spans="1:9" ht="18.5">
      <c r="A1" s="653" t="s">
        <v>380</v>
      </c>
      <c r="B1" s="653"/>
      <c r="C1" s="653"/>
      <c r="D1" s="653"/>
      <c r="E1" s="653"/>
      <c r="F1" s="653"/>
      <c r="G1" s="653"/>
      <c r="H1" s="653"/>
      <c r="I1" s="653"/>
    </row>
    <row r="2" spans="1:9" ht="15.5">
      <c r="A2" s="654" t="s">
        <v>286</v>
      </c>
      <c r="B2" s="654"/>
      <c r="C2" s="654"/>
      <c r="D2" s="654"/>
      <c r="E2" s="654"/>
      <c r="F2" s="654"/>
      <c r="G2" s="654"/>
      <c r="H2" s="654"/>
      <c r="I2" s="654"/>
    </row>
    <row r="3" spans="1:9" ht="15.5">
      <c r="A3" s="460" t="s">
        <v>1</v>
      </c>
      <c r="B3" s="460" t="s">
        <v>21</v>
      </c>
      <c r="C3" s="460" t="s">
        <v>27</v>
      </c>
      <c r="D3" s="460" t="s">
        <v>28</v>
      </c>
      <c r="E3" s="460" t="s">
        <v>57</v>
      </c>
      <c r="F3" s="460" t="s">
        <v>138</v>
      </c>
      <c r="G3" s="460" t="s">
        <v>225</v>
      </c>
      <c r="H3" s="460" t="s">
        <v>729</v>
      </c>
      <c r="I3" s="460" t="s">
        <v>730</v>
      </c>
    </row>
    <row r="4" spans="1:9" ht="15.5">
      <c r="A4" s="310" t="s">
        <v>287</v>
      </c>
      <c r="B4" s="311">
        <f>+'Project PL  Combined'!D8</f>
        <v>687.33361086956529</v>
      </c>
      <c r="C4" s="311">
        <f>+'Project PL  Combined'!E8</f>
        <v>1431.5283559782606</v>
      </c>
      <c r="D4" s="311">
        <f>+'Project PL  Combined'!F8</f>
        <v>2511.8899065217388</v>
      </c>
      <c r="E4" s="311">
        <f>+'Project PL  Combined'!G8</f>
        <v>2511.8899065217388</v>
      </c>
      <c r="F4" s="311">
        <f>+'Project PL  Combined'!H8</f>
        <v>2568.7510407608697</v>
      </c>
      <c r="G4" s="311">
        <f>+'Project PL  Combined'!I8</f>
        <v>2511.8899065217388</v>
      </c>
      <c r="H4" s="311">
        <f>+'Project PL  Combined'!J8</f>
        <v>2568.7510407608697</v>
      </c>
      <c r="I4" s="311">
        <f>+'Project PL  Combined'!K8</f>
        <v>2511.8899065217388</v>
      </c>
    </row>
    <row r="5" spans="1:9" ht="15.5">
      <c r="A5" s="312" t="s">
        <v>288</v>
      </c>
      <c r="B5" s="313">
        <f>+'Project PL  Combined'!D24</f>
        <v>50.564173566858834</v>
      </c>
      <c r="C5" s="313">
        <f>+'Project PL  Combined'!E24</f>
        <v>188.52701884830114</v>
      </c>
      <c r="D5" s="313">
        <f>+'Project PL  Combined'!F24</f>
        <v>346.1806011754598</v>
      </c>
      <c r="E5" s="313">
        <f>+'Project PL  Combined'!G24</f>
        <v>390.25794403260284</v>
      </c>
      <c r="F5" s="313">
        <f>+'Project PL  Combined'!H24</f>
        <v>441.30903252639246</v>
      </c>
      <c r="G5" s="313">
        <f>+'Project PL  Combined'!I24</f>
        <v>448.76698688974568</v>
      </c>
      <c r="H5" s="313">
        <f>+'Project PL  Combined'!J24</f>
        <v>504.97764970030511</v>
      </c>
      <c r="I5" s="313">
        <f>+'Project PL  Combined'!K24</f>
        <v>481.53127260403136</v>
      </c>
    </row>
    <row r="6" spans="1:9" ht="15.5">
      <c r="A6" s="461" t="s">
        <v>289</v>
      </c>
      <c r="B6" s="462">
        <f>+B5/B4</f>
        <v>7.3565693234306784E-2</v>
      </c>
      <c r="C6" s="462">
        <f t="shared" ref="C6:G6" si="0">+C5/C4</f>
        <v>0.13169632166976381</v>
      </c>
      <c r="D6" s="462">
        <f t="shared" si="0"/>
        <v>0.13781678897496849</v>
      </c>
      <c r="E6" s="462">
        <f t="shared" si="0"/>
        <v>0.15536427094967722</v>
      </c>
      <c r="F6" s="462">
        <f t="shared" si="0"/>
        <v>0.17179906714341447</v>
      </c>
      <c r="G6" s="462">
        <f t="shared" si="0"/>
        <v>0.17865710822938166</v>
      </c>
      <c r="H6" s="462">
        <f t="shared" ref="H6:I6" si="1">+H5/H4</f>
        <v>0.1965848934705364</v>
      </c>
      <c r="I6" s="462">
        <f t="shared" si="1"/>
        <v>0.19170078726532119</v>
      </c>
    </row>
    <row r="7" spans="1:9" ht="15.5">
      <c r="A7" s="310" t="s">
        <v>290</v>
      </c>
      <c r="B7" s="311">
        <f>+'Project BS Combined'!D6+'Project BS Combined'!D7+'Project BS Combined'!D8</f>
        <v>457.05954753182993</v>
      </c>
      <c r="C7" s="311">
        <f>+'Project BS Combined'!E6+'Project BS Combined'!E7+'Project BS Combined'!E8</f>
        <v>869.05686697421925</v>
      </c>
      <c r="D7" s="311">
        <f>+'Project BS Combined'!F6+'Project BS Combined'!F7+'Project BS Combined'!F8</f>
        <v>1103.3103779733601</v>
      </c>
      <c r="E7" s="311">
        <f>+'Project BS Combined'!G6+'Project BS Combined'!G7+'Project BS Combined'!G8</f>
        <v>1369.0296304010726</v>
      </c>
      <c r="F7" s="311">
        <f>+'Project BS Combined'!H6+'Project BS Combined'!H7+'Project BS Combined'!H8</f>
        <v>1671.5423080485057</v>
      </c>
      <c r="G7" s="311">
        <f>+'Project BS Combined'!I6+'Project BS Combined'!I7+'Project BS Combined'!I8</f>
        <v>1973.1342469047895</v>
      </c>
      <c r="H7" s="311">
        <f>+'Project BS Combined'!J6+'Project BS Combined'!J7+'Project BS Combined'!J8</f>
        <v>2314.5192491500488</v>
      </c>
      <c r="I7" s="311">
        <f>+'Project BS Combined'!K6+'Project BS Combined'!K7+'Project BS Combined'!K8</f>
        <v>2627.1902308634758</v>
      </c>
    </row>
    <row r="8" spans="1:9" ht="15.5">
      <c r="A8" s="310" t="s">
        <v>291</v>
      </c>
      <c r="B8" s="311">
        <f>+'Project BS Combined'!D9+'Project BS Combined'!D10+'Project BS Combined'!D13+'Project BS Combined'!D14+'Project BS Combined'!D15+'Project BS Combined'!D16</f>
        <v>826.26047141918605</v>
      </c>
      <c r="C8" s="311">
        <f>+'Project BS Combined'!E9+'Project BS Combined'!E10+'Project BS Combined'!E13+'Project BS Combined'!E14+'Project BS Combined'!E15+'Project BS Combined'!E16</f>
        <v>1418.9611645008604</v>
      </c>
      <c r="D8" s="311">
        <f>+'Project BS Combined'!F9+'Project BS Combined'!F10+'Project BS Combined'!F13+'Project BS Combined'!F14+'Project BS Combined'!F15+'Project BS Combined'!F16</f>
        <v>1304.7925896573026</v>
      </c>
      <c r="E8" s="311">
        <f>+'Project BS Combined'!G9+'Project BS Combined'!G10+'Project BS Combined'!G13+'Project BS Combined'!G14+'Project BS Combined'!G15+'Project BS Combined'!G16</f>
        <v>1115.5020904987898</v>
      </c>
      <c r="F8" s="311">
        <f>+'Project BS Combined'!H9+'Project BS Combined'!H10+'Project BS Combined'!H13+'Project BS Combined'!H14+'Project BS Combined'!H15+'Project BS Combined'!H16</f>
        <v>892.06759189929426</v>
      </c>
      <c r="G8" s="311">
        <f>+'Project BS Combined'!I9+'Project BS Combined'!I10+'Project BS Combined'!I13+'Project BS Combined'!I14+'Project BS Combined'!I15+'Project BS Combined'!I16</f>
        <v>658.5561772600422</v>
      </c>
      <c r="H8" s="311">
        <f>+'Project BS Combined'!J9+'Project BS Combined'!J10+'Project BS Combined'!J13+'Project BS Combined'!J14+'Project BS Combined'!J15+'Project BS Combined'!J16</f>
        <v>511.67294263074535</v>
      </c>
      <c r="I8" s="311">
        <f>+'Project BS Combined'!K9+'Project BS Combined'!K10+'Project BS Combined'!K13+'Project BS Combined'!K14+'Project BS Combined'!K15+'Project BS Combined'!K16</f>
        <v>444.39939154575632</v>
      </c>
    </row>
    <row r="9" spans="1:9" ht="15.5">
      <c r="A9" s="310" t="s">
        <v>292</v>
      </c>
      <c r="B9" s="311">
        <f>+'Project BS Combined'!D10+'Project BS Combined'!D13</f>
        <v>710</v>
      </c>
      <c r="C9" s="311">
        <f>+'Project BS Combined'!E10+'Project BS Combined'!E13</f>
        <v>1109.9285714285716</v>
      </c>
      <c r="D9" s="311">
        <f>+'Project BS Combined'!F10+'Project BS Combined'!F13</f>
        <v>913.64285714285711</v>
      </c>
      <c r="E9" s="311">
        <f>+'Project BS Combined'!G10+'Project BS Combined'!G13</f>
        <v>681.35714285714312</v>
      </c>
      <c r="F9" s="311">
        <f>+'Project BS Combined'!H10+'Project BS Combined'!H13</f>
        <v>449.07142857142873</v>
      </c>
      <c r="G9" s="311">
        <f>+'Project BS Combined'!I10+'Project BS Combined'!I13</f>
        <v>292.00000000000017</v>
      </c>
      <c r="H9" s="311">
        <f>+'Project BS Combined'!J10+'Project BS Combined'!J13</f>
        <v>230</v>
      </c>
      <c r="I9" s="311">
        <f>+'Project BS Combined'!K10+'Project BS Combined'!K13</f>
        <v>230</v>
      </c>
    </row>
    <row r="10" spans="1:9" ht="15.5">
      <c r="A10" s="461" t="s">
        <v>293</v>
      </c>
      <c r="B10" s="463">
        <f t="shared" ref="B10:G10" si="2">+B8/B7</f>
        <v>1.8077742295967347</v>
      </c>
      <c r="C10" s="463">
        <f t="shared" si="2"/>
        <v>1.6327598554525364</v>
      </c>
      <c r="D10" s="463">
        <f t="shared" si="2"/>
        <v>1.1826160758625688</v>
      </c>
      <c r="E10" s="463">
        <f t="shared" si="2"/>
        <v>0.81481223322536189</v>
      </c>
      <c r="F10" s="463">
        <f t="shared" si="2"/>
        <v>0.5336793377014587</v>
      </c>
      <c r="G10" s="463">
        <f t="shared" si="2"/>
        <v>0.33376146518824262</v>
      </c>
      <c r="H10" s="463">
        <f t="shared" ref="H10:I10" si="3">+H8/H7</f>
        <v>0.22107093851936849</v>
      </c>
      <c r="I10" s="463">
        <f t="shared" si="3"/>
        <v>0.16915386877017125</v>
      </c>
    </row>
    <row r="11" spans="1:9" ht="15.5">
      <c r="A11" s="461" t="s">
        <v>294</v>
      </c>
      <c r="B11" s="464">
        <f t="shared" ref="B11:G11" si="4">+B9/B7</f>
        <v>1.5534080927399403</v>
      </c>
      <c r="C11" s="464">
        <f t="shared" si="4"/>
        <v>1.2771644913099776</v>
      </c>
      <c r="D11" s="464">
        <f t="shared" si="4"/>
        <v>0.82809232595192483</v>
      </c>
      <c r="E11" s="464">
        <f t="shared" si="4"/>
        <v>0.49769349598191814</v>
      </c>
      <c r="F11" s="464">
        <f t="shared" si="4"/>
        <v>0.26865693222908082</v>
      </c>
      <c r="G11" s="464">
        <f t="shared" si="4"/>
        <v>0.14798790323469063</v>
      </c>
      <c r="H11" s="464">
        <f t="shared" ref="H11:I11" si="5">+H9/H7</f>
        <v>9.9372688338825413E-2</v>
      </c>
      <c r="I11" s="464">
        <f t="shared" si="5"/>
        <v>8.7546001541124088E-2</v>
      </c>
    </row>
    <row r="12" spans="1:9" ht="15.5">
      <c r="A12" s="114" t="s">
        <v>295</v>
      </c>
      <c r="B12" s="318">
        <f>+SUM('Project BS Combined'!D25:D28)</f>
        <v>294.86395416676612</v>
      </c>
      <c r="C12" s="318">
        <f>+SUM('Project BS Combined'!E25:E28)</f>
        <v>578.10725678762958</v>
      </c>
      <c r="D12" s="318">
        <f>+SUM('Project BS Combined'!F25:F28)</f>
        <v>798.07811520874645</v>
      </c>
      <c r="E12" s="318">
        <f>+SUM('Project BS Combined'!G25:G28)</f>
        <v>974.39279074347974</v>
      </c>
      <c r="F12" s="318">
        <f>+SUM('Project BS Combined'!H25:H28)</f>
        <v>1153.3568920569505</v>
      </c>
      <c r="G12" s="318">
        <f>+SUM('Project BS Combined'!I25:I28)</f>
        <v>1321.3233385395165</v>
      </c>
      <c r="H12" s="318">
        <f>+SUM('Project BS Combined'!J25:J28)</f>
        <v>1615.7110284210116</v>
      </c>
      <c r="I12" s="318">
        <f>+SUM('Project BS Combined'!K25:K28)</f>
        <v>1960.994381314983</v>
      </c>
    </row>
    <row r="13" spans="1:9" ht="15.5">
      <c r="A13" s="319" t="s">
        <v>296</v>
      </c>
      <c r="B13" s="311">
        <f>+SUM('Project BS Combined'!D13:D16)</f>
        <v>241.86047141918607</v>
      </c>
      <c r="C13" s="311">
        <f>+SUM('Project BS Combined'!E13:E16)</f>
        <v>479.63259307228901</v>
      </c>
      <c r="D13" s="311">
        <f>+SUM('Project BS Combined'!F13:F16)</f>
        <v>561.74973251444567</v>
      </c>
      <c r="E13" s="311">
        <f>+SUM('Project BS Combined'!G13:G16)</f>
        <v>604.74494764164706</v>
      </c>
      <c r="F13" s="311">
        <f>+SUM('Project BS Combined'!H13:H16)</f>
        <v>613.5961633278655</v>
      </c>
      <c r="G13" s="311">
        <f>+SUM('Project BS Combined'!I13:I16)</f>
        <v>537.156177260042</v>
      </c>
      <c r="H13" s="311">
        <f>+SUM('Project BS Combined'!J13:J16)</f>
        <v>452.27294263074538</v>
      </c>
      <c r="I13" s="311">
        <f>+SUM('Project BS Combined'!K13:K16)</f>
        <v>384.99939154575634</v>
      </c>
    </row>
    <row r="14" spans="1:9" ht="15.5">
      <c r="A14" s="465" t="s">
        <v>297</v>
      </c>
      <c r="B14" s="463">
        <f>+B12/B13</f>
        <v>1.2191490094952964</v>
      </c>
      <c r="C14" s="463">
        <f t="shared" ref="C14:G14" si="6">+C12/C13</f>
        <v>1.2053127021342744</v>
      </c>
      <c r="D14" s="463">
        <f t="shared" si="6"/>
        <v>1.4207004810424604</v>
      </c>
      <c r="E14" s="463">
        <f t="shared" si="6"/>
        <v>1.6112458558659584</v>
      </c>
      <c r="F14" s="463">
        <f t="shared" si="6"/>
        <v>1.8796677048983965</v>
      </c>
      <c r="G14" s="463">
        <f t="shared" si="6"/>
        <v>2.4598494711154597</v>
      </c>
      <c r="H14" s="463">
        <f t="shared" ref="H14:I14" si="7">+H12/H13</f>
        <v>3.5724246934226751</v>
      </c>
      <c r="I14" s="463">
        <f t="shared" si="7"/>
        <v>5.0934999492899795</v>
      </c>
    </row>
  </sheetData>
  <mergeCells count="2">
    <mergeCell ref="A1:I1"/>
    <mergeCell ref="A2:I2"/>
  </mergeCells>
  <pageMargins left="0.7" right="0.7" top="0.75" bottom="0.75" header="0.3" footer="0.3"/>
  <pageSetup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45FB-4193-4DF1-B23A-E95C6C4F9883}">
  <sheetPr>
    <tabColor theme="0" tint="-0.499984740745262"/>
  </sheetPr>
  <dimension ref="A1:U355"/>
  <sheetViews>
    <sheetView view="pageBreakPreview" topLeftCell="A165" zoomScaleNormal="100" zoomScaleSheetLayoutView="100" workbookViewId="0">
      <selection activeCell="N172" sqref="N172"/>
    </sheetView>
  </sheetViews>
  <sheetFormatPr defaultRowHeight="15.5"/>
  <cols>
    <col min="1" max="1" width="6.7265625" style="466" customWidth="1"/>
    <col min="2" max="2" width="5.26953125" style="466" customWidth="1"/>
    <col min="3" max="3" width="10.81640625" style="466" customWidth="1"/>
    <col min="4" max="4" width="5.54296875" style="466" customWidth="1"/>
    <col min="5" max="5" width="6.7265625" style="466" customWidth="1"/>
    <col min="6" max="6" width="36.26953125" style="466" customWidth="1"/>
    <col min="7" max="7" width="4.7265625" style="466" hidden="1" customWidth="1"/>
    <col min="8" max="8" width="2.453125" style="466" hidden="1" customWidth="1"/>
    <col min="9" max="9" width="15.81640625" style="546" customWidth="1"/>
    <col min="10" max="10" width="16.7265625" style="546" bestFit="1" customWidth="1"/>
    <col min="11" max="13" width="16.1796875" style="546" bestFit="1" customWidth="1"/>
    <col min="14" max="14" width="10.26953125" style="466" bestFit="1" customWidth="1"/>
    <col min="15" max="15" width="14.81640625" style="466" bestFit="1" customWidth="1"/>
    <col min="16" max="16" width="8.81640625" style="466" bestFit="1" customWidth="1"/>
    <col min="17" max="17" width="8.36328125" style="466" bestFit="1" customWidth="1"/>
    <col min="18" max="18" width="9.54296875" style="466" bestFit="1" customWidth="1"/>
    <col min="19" max="19" width="8.36328125" style="466" bestFit="1" customWidth="1"/>
    <col min="20" max="21" width="5.36328125" style="466" bestFit="1" customWidth="1"/>
    <col min="22" max="256" width="8.7265625" style="466"/>
    <col min="257" max="257" width="6.7265625" style="466" customWidth="1"/>
    <col min="258" max="258" width="5.26953125" style="466" customWidth="1"/>
    <col min="259" max="259" width="10.81640625" style="466" customWidth="1"/>
    <col min="260" max="260" width="5.54296875" style="466" customWidth="1"/>
    <col min="261" max="261" width="6.7265625" style="466" customWidth="1"/>
    <col min="262" max="262" width="36.26953125" style="466" customWidth="1"/>
    <col min="263" max="264" width="0" style="466" hidden="1" customWidth="1"/>
    <col min="265" max="265" width="15.81640625" style="466" customWidth="1"/>
    <col min="266" max="266" width="16.7265625" style="466" bestFit="1" customWidth="1"/>
    <col min="267" max="269" width="16.1796875" style="466" bestFit="1" customWidth="1"/>
    <col min="270" max="270" width="10.26953125" style="466" bestFit="1" customWidth="1"/>
    <col min="271" max="271" width="14.81640625" style="466" bestFit="1" customWidth="1"/>
    <col min="272" max="512" width="8.7265625" style="466"/>
    <col min="513" max="513" width="6.7265625" style="466" customWidth="1"/>
    <col min="514" max="514" width="5.26953125" style="466" customWidth="1"/>
    <col min="515" max="515" width="10.81640625" style="466" customWidth="1"/>
    <col min="516" max="516" width="5.54296875" style="466" customWidth="1"/>
    <col min="517" max="517" width="6.7265625" style="466" customWidth="1"/>
    <col min="518" max="518" width="36.26953125" style="466" customWidth="1"/>
    <col min="519" max="520" width="0" style="466" hidden="1" customWidth="1"/>
    <col min="521" max="521" width="15.81640625" style="466" customWidth="1"/>
    <col min="522" max="522" width="16.7265625" style="466" bestFit="1" customWidth="1"/>
    <col min="523" max="525" width="16.1796875" style="466" bestFit="1" customWidth="1"/>
    <col min="526" max="526" width="10.26953125" style="466" bestFit="1" customWidth="1"/>
    <col min="527" max="527" width="14.81640625" style="466" bestFit="1" customWidth="1"/>
    <col min="528" max="768" width="8.7265625" style="466"/>
    <col min="769" max="769" width="6.7265625" style="466" customWidth="1"/>
    <col min="770" max="770" width="5.26953125" style="466" customWidth="1"/>
    <col min="771" max="771" width="10.81640625" style="466" customWidth="1"/>
    <col min="772" max="772" width="5.54296875" style="466" customWidth="1"/>
    <col min="773" max="773" width="6.7265625" style="466" customWidth="1"/>
    <col min="774" max="774" width="36.26953125" style="466" customWidth="1"/>
    <col min="775" max="776" width="0" style="466" hidden="1" customWidth="1"/>
    <col min="777" max="777" width="15.81640625" style="466" customWidth="1"/>
    <col min="778" max="778" width="16.7265625" style="466" bestFit="1" customWidth="1"/>
    <col min="779" max="781" width="16.1796875" style="466" bestFit="1" customWidth="1"/>
    <col min="782" max="782" width="10.26953125" style="466" bestFit="1" customWidth="1"/>
    <col min="783" max="783" width="14.81640625" style="466" bestFit="1" customWidth="1"/>
    <col min="784" max="1024" width="8.7265625" style="466"/>
    <col min="1025" max="1025" width="6.7265625" style="466" customWidth="1"/>
    <col min="1026" max="1026" width="5.26953125" style="466" customWidth="1"/>
    <col min="1027" max="1027" width="10.81640625" style="466" customWidth="1"/>
    <col min="1028" max="1028" width="5.54296875" style="466" customWidth="1"/>
    <col min="1029" max="1029" width="6.7265625" style="466" customWidth="1"/>
    <col min="1030" max="1030" width="36.26953125" style="466" customWidth="1"/>
    <col min="1031" max="1032" width="0" style="466" hidden="1" customWidth="1"/>
    <col min="1033" max="1033" width="15.81640625" style="466" customWidth="1"/>
    <col min="1034" max="1034" width="16.7265625" style="466" bestFit="1" customWidth="1"/>
    <col min="1035" max="1037" width="16.1796875" style="466" bestFit="1" customWidth="1"/>
    <col min="1038" max="1038" width="10.26953125" style="466" bestFit="1" customWidth="1"/>
    <col min="1039" max="1039" width="14.81640625" style="466" bestFit="1" customWidth="1"/>
    <col min="1040" max="1280" width="8.7265625" style="466"/>
    <col min="1281" max="1281" width="6.7265625" style="466" customWidth="1"/>
    <col min="1282" max="1282" width="5.26953125" style="466" customWidth="1"/>
    <col min="1283" max="1283" width="10.81640625" style="466" customWidth="1"/>
    <col min="1284" max="1284" width="5.54296875" style="466" customWidth="1"/>
    <col min="1285" max="1285" width="6.7265625" style="466" customWidth="1"/>
    <col min="1286" max="1286" width="36.26953125" style="466" customWidth="1"/>
    <col min="1287" max="1288" width="0" style="466" hidden="1" customWidth="1"/>
    <col min="1289" max="1289" width="15.81640625" style="466" customWidth="1"/>
    <col min="1290" max="1290" width="16.7265625" style="466" bestFit="1" customWidth="1"/>
    <col min="1291" max="1293" width="16.1796875" style="466" bestFit="1" customWidth="1"/>
    <col min="1294" max="1294" width="10.26953125" style="466" bestFit="1" customWidth="1"/>
    <col min="1295" max="1295" width="14.81640625" style="466" bestFit="1" customWidth="1"/>
    <col min="1296" max="1536" width="8.7265625" style="466"/>
    <col min="1537" max="1537" width="6.7265625" style="466" customWidth="1"/>
    <col min="1538" max="1538" width="5.26953125" style="466" customWidth="1"/>
    <col min="1539" max="1539" width="10.81640625" style="466" customWidth="1"/>
    <col min="1540" max="1540" width="5.54296875" style="466" customWidth="1"/>
    <col min="1541" max="1541" width="6.7265625" style="466" customWidth="1"/>
    <col min="1542" max="1542" width="36.26953125" style="466" customWidth="1"/>
    <col min="1543" max="1544" width="0" style="466" hidden="1" customWidth="1"/>
    <col min="1545" max="1545" width="15.81640625" style="466" customWidth="1"/>
    <col min="1546" max="1546" width="16.7265625" style="466" bestFit="1" customWidth="1"/>
    <col min="1547" max="1549" width="16.1796875" style="466" bestFit="1" customWidth="1"/>
    <col min="1550" max="1550" width="10.26953125" style="466" bestFit="1" customWidth="1"/>
    <col min="1551" max="1551" width="14.81640625" style="466" bestFit="1" customWidth="1"/>
    <col min="1552" max="1792" width="8.7265625" style="466"/>
    <col min="1793" max="1793" width="6.7265625" style="466" customWidth="1"/>
    <col min="1794" max="1794" width="5.26953125" style="466" customWidth="1"/>
    <col min="1795" max="1795" width="10.81640625" style="466" customWidth="1"/>
    <col min="1796" max="1796" width="5.54296875" style="466" customWidth="1"/>
    <col min="1797" max="1797" width="6.7265625" style="466" customWidth="1"/>
    <col min="1798" max="1798" width="36.26953125" style="466" customWidth="1"/>
    <col min="1799" max="1800" width="0" style="466" hidden="1" customWidth="1"/>
    <col min="1801" max="1801" width="15.81640625" style="466" customWidth="1"/>
    <col min="1802" max="1802" width="16.7265625" style="466" bestFit="1" customWidth="1"/>
    <col min="1803" max="1805" width="16.1796875" style="466" bestFit="1" customWidth="1"/>
    <col min="1806" max="1806" width="10.26953125" style="466" bestFit="1" customWidth="1"/>
    <col min="1807" max="1807" width="14.81640625" style="466" bestFit="1" customWidth="1"/>
    <col min="1808" max="2048" width="8.7265625" style="466"/>
    <col min="2049" max="2049" width="6.7265625" style="466" customWidth="1"/>
    <col min="2050" max="2050" width="5.26953125" style="466" customWidth="1"/>
    <col min="2051" max="2051" width="10.81640625" style="466" customWidth="1"/>
    <col min="2052" max="2052" width="5.54296875" style="466" customWidth="1"/>
    <col min="2053" max="2053" width="6.7265625" style="466" customWidth="1"/>
    <col min="2054" max="2054" width="36.26953125" style="466" customWidth="1"/>
    <col min="2055" max="2056" width="0" style="466" hidden="1" customWidth="1"/>
    <col min="2057" max="2057" width="15.81640625" style="466" customWidth="1"/>
    <col min="2058" max="2058" width="16.7265625" style="466" bestFit="1" customWidth="1"/>
    <col min="2059" max="2061" width="16.1796875" style="466" bestFit="1" customWidth="1"/>
    <col min="2062" max="2062" width="10.26953125" style="466" bestFit="1" customWidth="1"/>
    <col min="2063" max="2063" width="14.81640625" style="466" bestFit="1" customWidth="1"/>
    <col min="2064" max="2304" width="8.7265625" style="466"/>
    <col min="2305" max="2305" width="6.7265625" style="466" customWidth="1"/>
    <col min="2306" max="2306" width="5.26953125" style="466" customWidth="1"/>
    <col min="2307" max="2307" width="10.81640625" style="466" customWidth="1"/>
    <col min="2308" max="2308" width="5.54296875" style="466" customWidth="1"/>
    <col min="2309" max="2309" width="6.7265625" style="466" customWidth="1"/>
    <col min="2310" max="2310" width="36.26953125" style="466" customWidth="1"/>
    <col min="2311" max="2312" width="0" style="466" hidden="1" customWidth="1"/>
    <col min="2313" max="2313" width="15.81640625" style="466" customWidth="1"/>
    <col min="2314" max="2314" width="16.7265625" style="466" bestFit="1" customWidth="1"/>
    <col min="2315" max="2317" width="16.1796875" style="466" bestFit="1" customWidth="1"/>
    <col min="2318" max="2318" width="10.26953125" style="466" bestFit="1" customWidth="1"/>
    <col min="2319" max="2319" width="14.81640625" style="466" bestFit="1" customWidth="1"/>
    <col min="2320" max="2560" width="8.7265625" style="466"/>
    <col min="2561" max="2561" width="6.7265625" style="466" customWidth="1"/>
    <col min="2562" max="2562" width="5.26953125" style="466" customWidth="1"/>
    <col min="2563" max="2563" width="10.81640625" style="466" customWidth="1"/>
    <col min="2564" max="2564" width="5.54296875" style="466" customWidth="1"/>
    <col min="2565" max="2565" width="6.7265625" style="466" customWidth="1"/>
    <col min="2566" max="2566" width="36.26953125" style="466" customWidth="1"/>
    <col min="2567" max="2568" width="0" style="466" hidden="1" customWidth="1"/>
    <col min="2569" max="2569" width="15.81640625" style="466" customWidth="1"/>
    <col min="2570" max="2570" width="16.7265625" style="466" bestFit="1" customWidth="1"/>
    <col min="2571" max="2573" width="16.1796875" style="466" bestFit="1" customWidth="1"/>
    <col min="2574" max="2574" width="10.26953125" style="466" bestFit="1" customWidth="1"/>
    <col min="2575" max="2575" width="14.81640625" style="466" bestFit="1" customWidth="1"/>
    <col min="2576" max="2816" width="8.7265625" style="466"/>
    <col min="2817" max="2817" width="6.7265625" style="466" customWidth="1"/>
    <col min="2818" max="2818" width="5.26953125" style="466" customWidth="1"/>
    <col min="2819" max="2819" width="10.81640625" style="466" customWidth="1"/>
    <col min="2820" max="2820" width="5.54296875" style="466" customWidth="1"/>
    <col min="2821" max="2821" width="6.7265625" style="466" customWidth="1"/>
    <col min="2822" max="2822" width="36.26953125" style="466" customWidth="1"/>
    <col min="2823" max="2824" width="0" style="466" hidden="1" customWidth="1"/>
    <col min="2825" max="2825" width="15.81640625" style="466" customWidth="1"/>
    <col min="2826" max="2826" width="16.7265625" style="466" bestFit="1" customWidth="1"/>
    <col min="2827" max="2829" width="16.1796875" style="466" bestFit="1" customWidth="1"/>
    <col min="2830" max="2830" width="10.26953125" style="466" bestFit="1" customWidth="1"/>
    <col min="2831" max="2831" width="14.81640625" style="466" bestFit="1" customWidth="1"/>
    <col min="2832" max="3072" width="8.7265625" style="466"/>
    <col min="3073" max="3073" width="6.7265625" style="466" customWidth="1"/>
    <col min="3074" max="3074" width="5.26953125" style="466" customWidth="1"/>
    <col min="3075" max="3075" width="10.81640625" style="466" customWidth="1"/>
    <col min="3076" max="3076" width="5.54296875" style="466" customWidth="1"/>
    <col min="3077" max="3077" width="6.7265625" style="466" customWidth="1"/>
    <col min="3078" max="3078" width="36.26953125" style="466" customWidth="1"/>
    <col min="3079" max="3080" width="0" style="466" hidden="1" customWidth="1"/>
    <col min="3081" max="3081" width="15.81640625" style="466" customWidth="1"/>
    <col min="3082" max="3082" width="16.7265625" style="466" bestFit="1" customWidth="1"/>
    <col min="3083" max="3085" width="16.1796875" style="466" bestFit="1" customWidth="1"/>
    <col min="3086" max="3086" width="10.26953125" style="466" bestFit="1" customWidth="1"/>
    <col min="3087" max="3087" width="14.81640625" style="466" bestFit="1" customWidth="1"/>
    <col min="3088" max="3328" width="8.7265625" style="466"/>
    <col min="3329" max="3329" width="6.7265625" style="466" customWidth="1"/>
    <col min="3330" max="3330" width="5.26953125" style="466" customWidth="1"/>
    <col min="3331" max="3331" width="10.81640625" style="466" customWidth="1"/>
    <col min="3332" max="3332" width="5.54296875" style="466" customWidth="1"/>
    <col min="3333" max="3333" width="6.7265625" style="466" customWidth="1"/>
    <col min="3334" max="3334" width="36.26953125" style="466" customWidth="1"/>
    <col min="3335" max="3336" width="0" style="466" hidden="1" customWidth="1"/>
    <col min="3337" max="3337" width="15.81640625" style="466" customWidth="1"/>
    <col min="3338" max="3338" width="16.7265625" style="466" bestFit="1" customWidth="1"/>
    <col min="3339" max="3341" width="16.1796875" style="466" bestFit="1" customWidth="1"/>
    <col min="3342" max="3342" width="10.26953125" style="466" bestFit="1" customWidth="1"/>
    <col min="3343" max="3343" width="14.81640625" style="466" bestFit="1" customWidth="1"/>
    <col min="3344" max="3584" width="8.7265625" style="466"/>
    <col min="3585" max="3585" width="6.7265625" style="466" customWidth="1"/>
    <col min="3586" max="3586" width="5.26953125" style="466" customWidth="1"/>
    <col min="3587" max="3587" width="10.81640625" style="466" customWidth="1"/>
    <col min="3588" max="3588" width="5.54296875" style="466" customWidth="1"/>
    <col min="3589" max="3589" width="6.7265625" style="466" customWidth="1"/>
    <col min="3590" max="3590" width="36.26953125" style="466" customWidth="1"/>
    <col min="3591" max="3592" width="0" style="466" hidden="1" customWidth="1"/>
    <col min="3593" max="3593" width="15.81640625" style="466" customWidth="1"/>
    <col min="3594" max="3594" width="16.7265625" style="466" bestFit="1" customWidth="1"/>
    <col min="3595" max="3597" width="16.1796875" style="466" bestFit="1" customWidth="1"/>
    <col min="3598" max="3598" width="10.26953125" style="466" bestFit="1" customWidth="1"/>
    <col min="3599" max="3599" width="14.81640625" style="466" bestFit="1" customWidth="1"/>
    <col min="3600" max="3840" width="8.7265625" style="466"/>
    <col min="3841" max="3841" width="6.7265625" style="466" customWidth="1"/>
    <col min="3842" max="3842" width="5.26953125" style="466" customWidth="1"/>
    <col min="3843" max="3843" width="10.81640625" style="466" customWidth="1"/>
    <col min="3844" max="3844" width="5.54296875" style="466" customWidth="1"/>
    <col min="3845" max="3845" width="6.7265625" style="466" customWidth="1"/>
    <col min="3846" max="3846" width="36.26953125" style="466" customWidth="1"/>
    <col min="3847" max="3848" width="0" style="466" hidden="1" customWidth="1"/>
    <col min="3849" max="3849" width="15.81640625" style="466" customWidth="1"/>
    <col min="3850" max="3850" width="16.7265625" style="466" bestFit="1" customWidth="1"/>
    <col min="3851" max="3853" width="16.1796875" style="466" bestFit="1" customWidth="1"/>
    <col min="3854" max="3854" width="10.26953125" style="466" bestFit="1" customWidth="1"/>
    <col min="3855" max="3855" width="14.81640625" style="466" bestFit="1" customWidth="1"/>
    <col min="3856" max="4096" width="8.7265625" style="466"/>
    <col min="4097" max="4097" width="6.7265625" style="466" customWidth="1"/>
    <col min="4098" max="4098" width="5.26953125" style="466" customWidth="1"/>
    <col min="4099" max="4099" width="10.81640625" style="466" customWidth="1"/>
    <col min="4100" max="4100" width="5.54296875" style="466" customWidth="1"/>
    <col min="4101" max="4101" width="6.7265625" style="466" customWidth="1"/>
    <col min="4102" max="4102" width="36.26953125" style="466" customWidth="1"/>
    <col min="4103" max="4104" width="0" style="466" hidden="1" customWidth="1"/>
    <col min="4105" max="4105" width="15.81640625" style="466" customWidth="1"/>
    <col min="4106" max="4106" width="16.7265625" style="466" bestFit="1" customWidth="1"/>
    <col min="4107" max="4109" width="16.1796875" style="466" bestFit="1" customWidth="1"/>
    <col min="4110" max="4110" width="10.26953125" style="466" bestFit="1" customWidth="1"/>
    <col min="4111" max="4111" width="14.81640625" style="466" bestFit="1" customWidth="1"/>
    <col min="4112" max="4352" width="8.7265625" style="466"/>
    <col min="4353" max="4353" width="6.7265625" style="466" customWidth="1"/>
    <col min="4354" max="4354" width="5.26953125" style="466" customWidth="1"/>
    <col min="4355" max="4355" width="10.81640625" style="466" customWidth="1"/>
    <col min="4356" max="4356" width="5.54296875" style="466" customWidth="1"/>
    <col min="4357" max="4357" width="6.7265625" style="466" customWidth="1"/>
    <col min="4358" max="4358" width="36.26953125" style="466" customWidth="1"/>
    <col min="4359" max="4360" width="0" style="466" hidden="1" customWidth="1"/>
    <col min="4361" max="4361" width="15.81640625" style="466" customWidth="1"/>
    <col min="4362" max="4362" width="16.7265625" style="466" bestFit="1" customWidth="1"/>
    <col min="4363" max="4365" width="16.1796875" style="466" bestFit="1" customWidth="1"/>
    <col min="4366" max="4366" width="10.26953125" style="466" bestFit="1" customWidth="1"/>
    <col min="4367" max="4367" width="14.81640625" style="466" bestFit="1" customWidth="1"/>
    <col min="4368" max="4608" width="8.7265625" style="466"/>
    <col min="4609" max="4609" width="6.7265625" style="466" customWidth="1"/>
    <col min="4610" max="4610" width="5.26953125" style="466" customWidth="1"/>
    <col min="4611" max="4611" width="10.81640625" style="466" customWidth="1"/>
    <col min="4612" max="4612" width="5.54296875" style="466" customWidth="1"/>
    <col min="4613" max="4613" width="6.7265625" style="466" customWidth="1"/>
    <col min="4614" max="4614" width="36.26953125" style="466" customWidth="1"/>
    <col min="4615" max="4616" width="0" style="466" hidden="1" customWidth="1"/>
    <col min="4617" max="4617" width="15.81640625" style="466" customWidth="1"/>
    <col min="4618" max="4618" width="16.7265625" style="466" bestFit="1" customWidth="1"/>
    <col min="4619" max="4621" width="16.1796875" style="466" bestFit="1" customWidth="1"/>
    <col min="4622" max="4622" width="10.26953125" style="466" bestFit="1" customWidth="1"/>
    <col min="4623" max="4623" width="14.81640625" style="466" bestFit="1" customWidth="1"/>
    <col min="4624" max="4864" width="8.7265625" style="466"/>
    <col min="4865" max="4865" width="6.7265625" style="466" customWidth="1"/>
    <col min="4866" max="4866" width="5.26953125" style="466" customWidth="1"/>
    <col min="4867" max="4867" width="10.81640625" style="466" customWidth="1"/>
    <col min="4868" max="4868" width="5.54296875" style="466" customWidth="1"/>
    <col min="4869" max="4869" width="6.7265625" style="466" customWidth="1"/>
    <col min="4870" max="4870" width="36.26953125" style="466" customWidth="1"/>
    <col min="4871" max="4872" width="0" style="466" hidden="1" customWidth="1"/>
    <col min="4873" max="4873" width="15.81640625" style="466" customWidth="1"/>
    <col min="4874" max="4874" width="16.7265625" style="466" bestFit="1" customWidth="1"/>
    <col min="4875" max="4877" width="16.1796875" style="466" bestFit="1" customWidth="1"/>
    <col min="4878" max="4878" width="10.26953125" style="466" bestFit="1" customWidth="1"/>
    <col min="4879" max="4879" width="14.81640625" style="466" bestFit="1" customWidth="1"/>
    <col min="4880" max="5120" width="8.7265625" style="466"/>
    <col min="5121" max="5121" width="6.7265625" style="466" customWidth="1"/>
    <col min="5122" max="5122" width="5.26953125" style="466" customWidth="1"/>
    <col min="5123" max="5123" width="10.81640625" style="466" customWidth="1"/>
    <col min="5124" max="5124" width="5.54296875" style="466" customWidth="1"/>
    <col min="5125" max="5125" width="6.7265625" style="466" customWidth="1"/>
    <col min="5126" max="5126" width="36.26953125" style="466" customWidth="1"/>
    <col min="5127" max="5128" width="0" style="466" hidden="1" customWidth="1"/>
    <col min="5129" max="5129" width="15.81640625" style="466" customWidth="1"/>
    <col min="5130" max="5130" width="16.7265625" style="466" bestFit="1" customWidth="1"/>
    <col min="5131" max="5133" width="16.1796875" style="466" bestFit="1" customWidth="1"/>
    <col min="5134" max="5134" width="10.26953125" style="466" bestFit="1" customWidth="1"/>
    <col min="5135" max="5135" width="14.81640625" style="466" bestFit="1" customWidth="1"/>
    <col min="5136" max="5376" width="8.7265625" style="466"/>
    <col min="5377" max="5377" width="6.7265625" style="466" customWidth="1"/>
    <col min="5378" max="5378" width="5.26953125" style="466" customWidth="1"/>
    <col min="5379" max="5379" width="10.81640625" style="466" customWidth="1"/>
    <col min="5380" max="5380" width="5.54296875" style="466" customWidth="1"/>
    <col min="5381" max="5381" width="6.7265625" style="466" customWidth="1"/>
    <col min="5382" max="5382" width="36.26953125" style="466" customWidth="1"/>
    <col min="5383" max="5384" width="0" style="466" hidden="1" customWidth="1"/>
    <col min="5385" max="5385" width="15.81640625" style="466" customWidth="1"/>
    <col min="5386" max="5386" width="16.7265625" style="466" bestFit="1" customWidth="1"/>
    <col min="5387" max="5389" width="16.1796875" style="466" bestFit="1" customWidth="1"/>
    <col min="5390" max="5390" width="10.26953125" style="466" bestFit="1" customWidth="1"/>
    <col min="5391" max="5391" width="14.81640625" style="466" bestFit="1" customWidth="1"/>
    <col min="5392" max="5632" width="8.7265625" style="466"/>
    <col min="5633" max="5633" width="6.7265625" style="466" customWidth="1"/>
    <col min="5634" max="5634" width="5.26953125" style="466" customWidth="1"/>
    <col min="5635" max="5635" width="10.81640625" style="466" customWidth="1"/>
    <col min="5636" max="5636" width="5.54296875" style="466" customWidth="1"/>
    <col min="5637" max="5637" width="6.7265625" style="466" customWidth="1"/>
    <col min="5638" max="5638" width="36.26953125" style="466" customWidth="1"/>
    <col min="5639" max="5640" width="0" style="466" hidden="1" customWidth="1"/>
    <col min="5641" max="5641" width="15.81640625" style="466" customWidth="1"/>
    <col min="5642" max="5642" width="16.7265625" style="466" bestFit="1" customWidth="1"/>
    <col min="5643" max="5645" width="16.1796875" style="466" bestFit="1" customWidth="1"/>
    <col min="5646" max="5646" width="10.26953125" style="466" bestFit="1" customWidth="1"/>
    <col min="5647" max="5647" width="14.81640625" style="466" bestFit="1" customWidth="1"/>
    <col min="5648" max="5888" width="8.7265625" style="466"/>
    <col min="5889" max="5889" width="6.7265625" style="466" customWidth="1"/>
    <col min="5890" max="5890" width="5.26953125" style="466" customWidth="1"/>
    <col min="5891" max="5891" width="10.81640625" style="466" customWidth="1"/>
    <col min="5892" max="5892" width="5.54296875" style="466" customWidth="1"/>
    <col min="5893" max="5893" width="6.7265625" style="466" customWidth="1"/>
    <col min="5894" max="5894" width="36.26953125" style="466" customWidth="1"/>
    <col min="5895" max="5896" width="0" style="466" hidden="1" customWidth="1"/>
    <col min="5897" max="5897" width="15.81640625" style="466" customWidth="1"/>
    <col min="5898" max="5898" width="16.7265625" style="466" bestFit="1" customWidth="1"/>
    <col min="5899" max="5901" width="16.1796875" style="466" bestFit="1" customWidth="1"/>
    <col min="5902" max="5902" width="10.26953125" style="466" bestFit="1" customWidth="1"/>
    <col min="5903" max="5903" width="14.81640625" style="466" bestFit="1" customWidth="1"/>
    <col min="5904" max="6144" width="8.7265625" style="466"/>
    <col min="6145" max="6145" width="6.7265625" style="466" customWidth="1"/>
    <col min="6146" max="6146" width="5.26953125" style="466" customWidth="1"/>
    <col min="6147" max="6147" width="10.81640625" style="466" customWidth="1"/>
    <col min="6148" max="6148" width="5.54296875" style="466" customWidth="1"/>
    <col min="6149" max="6149" width="6.7265625" style="466" customWidth="1"/>
    <col min="6150" max="6150" width="36.26953125" style="466" customWidth="1"/>
    <col min="6151" max="6152" width="0" style="466" hidden="1" customWidth="1"/>
    <col min="6153" max="6153" width="15.81640625" style="466" customWidth="1"/>
    <col min="6154" max="6154" width="16.7265625" style="466" bestFit="1" customWidth="1"/>
    <col min="6155" max="6157" width="16.1796875" style="466" bestFit="1" customWidth="1"/>
    <col min="6158" max="6158" width="10.26953125" style="466" bestFit="1" customWidth="1"/>
    <col min="6159" max="6159" width="14.81640625" style="466" bestFit="1" customWidth="1"/>
    <col min="6160" max="6400" width="8.7265625" style="466"/>
    <col min="6401" max="6401" width="6.7265625" style="466" customWidth="1"/>
    <col min="6402" max="6402" width="5.26953125" style="466" customWidth="1"/>
    <col min="6403" max="6403" width="10.81640625" style="466" customWidth="1"/>
    <col min="6404" max="6404" width="5.54296875" style="466" customWidth="1"/>
    <col min="6405" max="6405" width="6.7265625" style="466" customWidth="1"/>
    <col min="6406" max="6406" width="36.26953125" style="466" customWidth="1"/>
    <col min="6407" max="6408" width="0" style="466" hidden="1" customWidth="1"/>
    <col min="6409" max="6409" width="15.81640625" style="466" customWidth="1"/>
    <col min="6410" max="6410" width="16.7265625" style="466" bestFit="1" customWidth="1"/>
    <col min="6411" max="6413" width="16.1796875" style="466" bestFit="1" customWidth="1"/>
    <col min="6414" max="6414" width="10.26953125" style="466" bestFit="1" customWidth="1"/>
    <col min="6415" max="6415" width="14.81640625" style="466" bestFit="1" customWidth="1"/>
    <col min="6416" max="6656" width="8.7265625" style="466"/>
    <col min="6657" max="6657" width="6.7265625" style="466" customWidth="1"/>
    <col min="6658" max="6658" width="5.26953125" style="466" customWidth="1"/>
    <col min="6659" max="6659" width="10.81640625" style="466" customWidth="1"/>
    <col min="6660" max="6660" width="5.54296875" style="466" customWidth="1"/>
    <col min="6661" max="6661" width="6.7265625" style="466" customWidth="1"/>
    <col min="6662" max="6662" width="36.26953125" style="466" customWidth="1"/>
    <col min="6663" max="6664" width="0" style="466" hidden="1" customWidth="1"/>
    <col min="6665" max="6665" width="15.81640625" style="466" customWidth="1"/>
    <col min="6666" max="6666" width="16.7265625" style="466" bestFit="1" customWidth="1"/>
    <col min="6667" max="6669" width="16.1796875" style="466" bestFit="1" customWidth="1"/>
    <col min="6670" max="6670" width="10.26953125" style="466" bestFit="1" customWidth="1"/>
    <col min="6671" max="6671" width="14.81640625" style="466" bestFit="1" customWidth="1"/>
    <col min="6672" max="6912" width="8.7265625" style="466"/>
    <col min="6913" max="6913" width="6.7265625" style="466" customWidth="1"/>
    <col min="6914" max="6914" width="5.26953125" style="466" customWidth="1"/>
    <col min="6915" max="6915" width="10.81640625" style="466" customWidth="1"/>
    <col min="6916" max="6916" width="5.54296875" style="466" customWidth="1"/>
    <col min="6917" max="6917" width="6.7265625" style="466" customWidth="1"/>
    <col min="6918" max="6918" width="36.26953125" style="466" customWidth="1"/>
    <col min="6919" max="6920" width="0" style="466" hidden="1" customWidth="1"/>
    <col min="6921" max="6921" width="15.81640625" style="466" customWidth="1"/>
    <col min="6922" max="6922" width="16.7265625" style="466" bestFit="1" customWidth="1"/>
    <col min="6923" max="6925" width="16.1796875" style="466" bestFit="1" customWidth="1"/>
    <col min="6926" max="6926" width="10.26953125" style="466" bestFit="1" customWidth="1"/>
    <col min="6927" max="6927" width="14.81640625" style="466" bestFit="1" customWidth="1"/>
    <col min="6928" max="7168" width="8.7265625" style="466"/>
    <col min="7169" max="7169" width="6.7265625" style="466" customWidth="1"/>
    <col min="7170" max="7170" width="5.26953125" style="466" customWidth="1"/>
    <col min="7171" max="7171" width="10.81640625" style="466" customWidth="1"/>
    <col min="7172" max="7172" width="5.54296875" style="466" customWidth="1"/>
    <col min="7173" max="7173" width="6.7265625" style="466" customWidth="1"/>
    <col min="7174" max="7174" width="36.26953125" style="466" customWidth="1"/>
    <col min="7175" max="7176" width="0" style="466" hidden="1" customWidth="1"/>
    <col min="7177" max="7177" width="15.81640625" style="466" customWidth="1"/>
    <col min="7178" max="7178" width="16.7265625" style="466" bestFit="1" customWidth="1"/>
    <col min="7179" max="7181" width="16.1796875" style="466" bestFit="1" customWidth="1"/>
    <col min="7182" max="7182" width="10.26953125" style="466" bestFit="1" customWidth="1"/>
    <col min="7183" max="7183" width="14.81640625" style="466" bestFit="1" customWidth="1"/>
    <col min="7184" max="7424" width="8.7265625" style="466"/>
    <col min="7425" max="7425" width="6.7265625" style="466" customWidth="1"/>
    <col min="7426" max="7426" width="5.26953125" style="466" customWidth="1"/>
    <col min="7427" max="7427" width="10.81640625" style="466" customWidth="1"/>
    <col min="7428" max="7428" width="5.54296875" style="466" customWidth="1"/>
    <col min="7429" max="7429" width="6.7265625" style="466" customWidth="1"/>
    <col min="7430" max="7430" width="36.26953125" style="466" customWidth="1"/>
    <col min="7431" max="7432" width="0" style="466" hidden="1" customWidth="1"/>
    <col min="7433" max="7433" width="15.81640625" style="466" customWidth="1"/>
    <col min="7434" max="7434" width="16.7265625" style="466" bestFit="1" customWidth="1"/>
    <col min="7435" max="7437" width="16.1796875" style="466" bestFit="1" customWidth="1"/>
    <col min="7438" max="7438" width="10.26953125" style="466" bestFit="1" customWidth="1"/>
    <col min="7439" max="7439" width="14.81640625" style="466" bestFit="1" customWidth="1"/>
    <col min="7440" max="7680" width="8.7265625" style="466"/>
    <col min="7681" max="7681" width="6.7265625" style="466" customWidth="1"/>
    <col min="7682" max="7682" width="5.26953125" style="466" customWidth="1"/>
    <col min="7683" max="7683" width="10.81640625" style="466" customWidth="1"/>
    <col min="7684" max="7684" width="5.54296875" style="466" customWidth="1"/>
    <col min="7685" max="7685" width="6.7265625" style="466" customWidth="1"/>
    <col min="7686" max="7686" width="36.26953125" style="466" customWidth="1"/>
    <col min="7687" max="7688" width="0" style="466" hidden="1" customWidth="1"/>
    <col min="7689" max="7689" width="15.81640625" style="466" customWidth="1"/>
    <col min="7690" max="7690" width="16.7265625" style="466" bestFit="1" customWidth="1"/>
    <col min="7691" max="7693" width="16.1796875" style="466" bestFit="1" customWidth="1"/>
    <col min="7694" max="7694" width="10.26953125" style="466" bestFit="1" customWidth="1"/>
    <col min="7695" max="7695" width="14.81640625" style="466" bestFit="1" customWidth="1"/>
    <col min="7696" max="7936" width="8.7265625" style="466"/>
    <col min="7937" max="7937" width="6.7265625" style="466" customWidth="1"/>
    <col min="7938" max="7938" width="5.26953125" style="466" customWidth="1"/>
    <col min="7939" max="7939" width="10.81640625" style="466" customWidth="1"/>
    <col min="7940" max="7940" width="5.54296875" style="466" customWidth="1"/>
    <col min="7941" max="7941" width="6.7265625" style="466" customWidth="1"/>
    <col min="7942" max="7942" width="36.26953125" style="466" customWidth="1"/>
    <col min="7943" max="7944" width="0" style="466" hidden="1" customWidth="1"/>
    <col min="7945" max="7945" width="15.81640625" style="466" customWidth="1"/>
    <col min="7946" max="7946" width="16.7265625" style="466" bestFit="1" customWidth="1"/>
    <col min="7947" max="7949" width="16.1796875" style="466" bestFit="1" customWidth="1"/>
    <col min="7950" max="7950" width="10.26953125" style="466" bestFit="1" customWidth="1"/>
    <col min="7951" max="7951" width="14.81640625" style="466" bestFit="1" customWidth="1"/>
    <col min="7952" max="8192" width="8.7265625" style="466"/>
    <col min="8193" max="8193" width="6.7265625" style="466" customWidth="1"/>
    <col min="8194" max="8194" width="5.26953125" style="466" customWidth="1"/>
    <col min="8195" max="8195" width="10.81640625" style="466" customWidth="1"/>
    <col min="8196" max="8196" width="5.54296875" style="466" customWidth="1"/>
    <col min="8197" max="8197" width="6.7265625" style="466" customWidth="1"/>
    <col min="8198" max="8198" width="36.26953125" style="466" customWidth="1"/>
    <col min="8199" max="8200" width="0" style="466" hidden="1" customWidth="1"/>
    <col min="8201" max="8201" width="15.81640625" style="466" customWidth="1"/>
    <col min="8202" max="8202" width="16.7265625" style="466" bestFit="1" customWidth="1"/>
    <col min="8203" max="8205" width="16.1796875" style="466" bestFit="1" customWidth="1"/>
    <col min="8206" max="8206" width="10.26953125" style="466" bestFit="1" customWidth="1"/>
    <col min="8207" max="8207" width="14.81640625" style="466" bestFit="1" customWidth="1"/>
    <col min="8208" max="8448" width="8.7265625" style="466"/>
    <col min="8449" max="8449" width="6.7265625" style="466" customWidth="1"/>
    <col min="8450" max="8450" width="5.26953125" style="466" customWidth="1"/>
    <col min="8451" max="8451" width="10.81640625" style="466" customWidth="1"/>
    <col min="8452" max="8452" width="5.54296875" style="466" customWidth="1"/>
    <col min="8453" max="8453" width="6.7265625" style="466" customWidth="1"/>
    <col min="8454" max="8454" width="36.26953125" style="466" customWidth="1"/>
    <col min="8455" max="8456" width="0" style="466" hidden="1" customWidth="1"/>
    <col min="8457" max="8457" width="15.81640625" style="466" customWidth="1"/>
    <col min="8458" max="8458" width="16.7265625" style="466" bestFit="1" customWidth="1"/>
    <col min="8459" max="8461" width="16.1796875" style="466" bestFit="1" customWidth="1"/>
    <col min="8462" max="8462" width="10.26953125" style="466" bestFit="1" customWidth="1"/>
    <col min="8463" max="8463" width="14.81640625" style="466" bestFit="1" customWidth="1"/>
    <col min="8464" max="8704" width="8.7265625" style="466"/>
    <col min="8705" max="8705" width="6.7265625" style="466" customWidth="1"/>
    <col min="8706" max="8706" width="5.26953125" style="466" customWidth="1"/>
    <col min="8707" max="8707" width="10.81640625" style="466" customWidth="1"/>
    <col min="8708" max="8708" width="5.54296875" style="466" customWidth="1"/>
    <col min="8709" max="8709" width="6.7265625" style="466" customWidth="1"/>
    <col min="8710" max="8710" width="36.26953125" style="466" customWidth="1"/>
    <col min="8711" max="8712" width="0" style="466" hidden="1" customWidth="1"/>
    <col min="8713" max="8713" width="15.81640625" style="466" customWidth="1"/>
    <col min="8714" max="8714" width="16.7265625" style="466" bestFit="1" customWidth="1"/>
    <col min="8715" max="8717" width="16.1796875" style="466" bestFit="1" customWidth="1"/>
    <col min="8718" max="8718" width="10.26953125" style="466" bestFit="1" customWidth="1"/>
    <col min="8719" max="8719" width="14.81640625" style="466" bestFit="1" customWidth="1"/>
    <col min="8720" max="8960" width="8.7265625" style="466"/>
    <col min="8961" max="8961" width="6.7265625" style="466" customWidth="1"/>
    <col min="8962" max="8962" width="5.26953125" style="466" customWidth="1"/>
    <col min="8963" max="8963" width="10.81640625" style="466" customWidth="1"/>
    <col min="8964" max="8964" width="5.54296875" style="466" customWidth="1"/>
    <col min="8965" max="8965" width="6.7265625" style="466" customWidth="1"/>
    <col min="8966" max="8966" width="36.26953125" style="466" customWidth="1"/>
    <col min="8967" max="8968" width="0" style="466" hidden="1" customWidth="1"/>
    <col min="8969" max="8969" width="15.81640625" style="466" customWidth="1"/>
    <col min="8970" max="8970" width="16.7265625" style="466" bestFit="1" customWidth="1"/>
    <col min="8971" max="8973" width="16.1796875" style="466" bestFit="1" customWidth="1"/>
    <col min="8974" max="8974" width="10.26953125" style="466" bestFit="1" customWidth="1"/>
    <col min="8975" max="8975" width="14.81640625" style="466" bestFit="1" customWidth="1"/>
    <col min="8976" max="9216" width="8.7265625" style="466"/>
    <col min="9217" max="9217" width="6.7265625" style="466" customWidth="1"/>
    <col min="9218" max="9218" width="5.26953125" style="466" customWidth="1"/>
    <col min="9219" max="9219" width="10.81640625" style="466" customWidth="1"/>
    <col min="9220" max="9220" width="5.54296875" style="466" customWidth="1"/>
    <col min="9221" max="9221" width="6.7265625" style="466" customWidth="1"/>
    <col min="9222" max="9222" width="36.26953125" style="466" customWidth="1"/>
    <col min="9223" max="9224" width="0" style="466" hidden="1" customWidth="1"/>
    <col min="9225" max="9225" width="15.81640625" style="466" customWidth="1"/>
    <col min="9226" max="9226" width="16.7265625" style="466" bestFit="1" customWidth="1"/>
    <col min="9227" max="9229" width="16.1796875" style="466" bestFit="1" customWidth="1"/>
    <col min="9230" max="9230" width="10.26953125" style="466" bestFit="1" customWidth="1"/>
    <col min="9231" max="9231" width="14.81640625" style="466" bestFit="1" customWidth="1"/>
    <col min="9232" max="9472" width="8.7265625" style="466"/>
    <col min="9473" max="9473" width="6.7265625" style="466" customWidth="1"/>
    <col min="9474" max="9474" width="5.26953125" style="466" customWidth="1"/>
    <col min="9475" max="9475" width="10.81640625" style="466" customWidth="1"/>
    <col min="9476" max="9476" width="5.54296875" style="466" customWidth="1"/>
    <col min="9477" max="9477" width="6.7265625" style="466" customWidth="1"/>
    <col min="9478" max="9478" width="36.26953125" style="466" customWidth="1"/>
    <col min="9479" max="9480" width="0" style="466" hidden="1" customWidth="1"/>
    <col min="9481" max="9481" width="15.81640625" style="466" customWidth="1"/>
    <col min="9482" max="9482" width="16.7265625" style="466" bestFit="1" customWidth="1"/>
    <col min="9483" max="9485" width="16.1796875" style="466" bestFit="1" customWidth="1"/>
    <col min="9486" max="9486" width="10.26953125" style="466" bestFit="1" customWidth="1"/>
    <col min="9487" max="9487" width="14.81640625" style="466" bestFit="1" customWidth="1"/>
    <col min="9488" max="9728" width="8.7265625" style="466"/>
    <col min="9729" max="9729" width="6.7265625" style="466" customWidth="1"/>
    <col min="9730" max="9730" width="5.26953125" style="466" customWidth="1"/>
    <col min="9731" max="9731" width="10.81640625" style="466" customWidth="1"/>
    <col min="9732" max="9732" width="5.54296875" style="466" customWidth="1"/>
    <col min="9733" max="9733" width="6.7265625" style="466" customWidth="1"/>
    <col min="9734" max="9734" width="36.26953125" style="466" customWidth="1"/>
    <col min="9735" max="9736" width="0" style="466" hidden="1" customWidth="1"/>
    <col min="9737" max="9737" width="15.81640625" style="466" customWidth="1"/>
    <col min="9738" max="9738" width="16.7265625" style="466" bestFit="1" customWidth="1"/>
    <col min="9739" max="9741" width="16.1796875" style="466" bestFit="1" customWidth="1"/>
    <col min="9742" max="9742" width="10.26953125" style="466" bestFit="1" customWidth="1"/>
    <col min="9743" max="9743" width="14.81640625" style="466" bestFit="1" customWidth="1"/>
    <col min="9744" max="9984" width="8.7265625" style="466"/>
    <col min="9985" max="9985" width="6.7265625" style="466" customWidth="1"/>
    <col min="9986" max="9986" width="5.26953125" style="466" customWidth="1"/>
    <col min="9987" max="9987" width="10.81640625" style="466" customWidth="1"/>
    <col min="9988" max="9988" width="5.54296875" style="466" customWidth="1"/>
    <col min="9989" max="9989" width="6.7265625" style="466" customWidth="1"/>
    <col min="9990" max="9990" width="36.26953125" style="466" customWidth="1"/>
    <col min="9991" max="9992" width="0" style="466" hidden="1" customWidth="1"/>
    <col min="9993" max="9993" width="15.81640625" style="466" customWidth="1"/>
    <col min="9994" max="9994" width="16.7265625" style="466" bestFit="1" customWidth="1"/>
    <col min="9995" max="9997" width="16.1796875" style="466" bestFit="1" customWidth="1"/>
    <col min="9998" max="9998" width="10.26953125" style="466" bestFit="1" customWidth="1"/>
    <col min="9999" max="9999" width="14.81640625" style="466" bestFit="1" customWidth="1"/>
    <col min="10000" max="10240" width="8.7265625" style="466"/>
    <col min="10241" max="10241" width="6.7265625" style="466" customWidth="1"/>
    <col min="10242" max="10242" width="5.26953125" style="466" customWidth="1"/>
    <col min="10243" max="10243" width="10.81640625" style="466" customWidth="1"/>
    <col min="10244" max="10244" width="5.54296875" style="466" customWidth="1"/>
    <col min="10245" max="10245" width="6.7265625" style="466" customWidth="1"/>
    <col min="10246" max="10246" width="36.26953125" style="466" customWidth="1"/>
    <col min="10247" max="10248" width="0" style="466" hidden="1" customWidth="1"/>
    <col min="10249" max="10249" width="15.81640625" style="466" customWidth="1"/>
    <col min="10250" max="10250" width="16.7265625" style="466" bestFit="1" customWidth="1"/>
    <col min="10251" max="10253" width="16.1796875" style="466" bestFit="1" customWidth="1"/>
    <col min="10254" max="10254" width="10.26953125" style="466" bestFit="1" customWidth="1"/>
    <col min="10255" max="10255" width="14.81640625" style="466" bestFit="1" customWidth="1"/>
    <col min="10256" max="10496" width="8.7265625" style="466"/>
    <col min="10497" max="10497" width="6.7265625" style="466" customWidth="1"/>
    <col min="10498" max="10498" width="5.26953125" style="466" customWidth="1"/>
    <col min="10499" max="10499" width="10.81640625" style="466" customWidth="1"/>
    <col min="10500" max="10500" width="5.54296875" style="466" customWidth="1"/>
    <col min="10501" max="10501" width="6.7265625" style="466" customWidth="1"/>
    <col min="10502" max="10502" width="36.26953125" style="466" customWidth="1"/>
    <col min="10503" max="10504" width="0" style="466" hidden="1" customWidth="1"/>
    <col min="10505" max="10505" width="15.81640625" style="466" customWidth="1"/>
    <col min="10506" max="10506" width="16.7265625" style="466" bestFit="1" customWidth="1"/>
    <col min="10507" max="10509" width="16.1796875" style="466" bestFit="1" customWidth="1"/>
    <col min="10510" max="10510" width="10.26953125" style="466" bestFit="1" customWidth="1"/>
    <col min="10511" max="10511" width="14.81640625" style="466" bestFit="1" customWidth="1"/>
    <col min="10512" max="10752" width="8.7265625" style="466"/>
    <col min="10753" max="10753" width="6.7265625" style="466" customWidth="1"/>
    <col min="10754" max="10754" width="5.26953125" style="466" customWidth="1"/>
    <col min="10755" max="10755" width="10.81640625" style="466" customWidth="1"/>
    <col min="10756" max="10756" width="5.54296875" style="466" customWidth="1"/>
    <col min="10757" max="10757" width="6.7265625" style="466" customWidth="1"/>
    <col min="10758" max="10758" width="36.26953125" style="466" customWidth="1"/>
    <col min="10759" max="10760" width="0" style="466" hidden="1" customWidth="1"/>
    <col min="10761" max="10761" width="15.81640625" style="466" customWidth="1"/>
    <col min="10762" max="10762" width="16.7265625" style="466" bestFit="1" customWidth="1"/>
    <col min="10763" max="10765" width="16.1796875" style="466" bestFit="1" customWidth="1"/>
    <col min="10766" max="10766" width="10.26953125" style="466" bestFit="1" customWidth="1"/>
    <col min="10767" max="10767" width="14.81640625" style="466" bestFit="1" customWidth="1"/>
    <col min="10768" max="11008" width="8.7265625" style="466"/>
    <col min="11009" max="11009" width="6.7265625" style="466" customWidth="1"/>
    <col min="11010" max="11010" width="5.26953125" style="466" customWidth="1"/>
    <col min="11011" max="11011" width="10.81640625" style="466" customWidth="1"/>
    <col min="11012" max="11012" width="5.54296875" style="466" customWidth="1"/>
    <col min="11013" max="11013" width="6.7265625" style="466" customWidth="1"/>
    <col min="11014" max="11014" width="36.26953125" style="466" customWidth="1"/>
    <col min="11015" max="11016" width="0" style="466" hidden="1" customWidth="1"/>
    <col min="11017" max="11017" width="15.81640625" style="466" customWidth="1"/>
    <col min="11018" max="11018" width="16.7265625" style="466" bestFit="1" customWidth="1"/>
    <col min="11019" max="11021" width="16.1796875" style="466" bestFit="1" customWidth="1"/>
    <col min="11022" max="11022" width="10.26953125" style="466" bestFit="1" customWidth="1"/>
    <col min="11023" max="11023" width="14.81640625" style="466" bestFit="1" customWidth="1"/>
    <col min="11024" max="11264" width="8.7265625" style="466"/>
    <col min="11265" max="11265" width="6.7265625" style="466" customWidth="1"/>
    <col min="11266" max="11266" width="5.26953125" style="466" customWidth="1"/>
    <col min="11267" max="11267" width="10.81640625" style="466" customWidth="1"/>
    <col min="11268" max="11268" width="5.54296875" style="466" customWidth="1"/>
    <col min="11269" max="11269" width="6.7265625" style="466" customWidth="1"/>
    <col min="11270" max="11270" width="36.26953125" style="466" customWidth="1"/>
    <col min="11271" max="11272" width="0" style="466" hidden="1" customWidth="1"/>
    <col min="11273" max="11273" width="15.81640625" style="466" customWidth="1"/>
    <col min="11274" max="11274" width="16.7265625" style="466" bestFit="1" customWidth="1"/>
    <col min="11275" max="11277" width="16.1796875" style="466" bestFit="1" customWidth="1"/>
    <col min="11278" max="11278" width="10.26953125" style="466" bestFit="1" customWidth="1"/>
    <col min="11279" max="11279" width="14.81640625" style="466" bestFit="1" customWidth="1"/>
    <col min="11280" max="11520" width="8.7265625" style="466"/>
    <col min="11521" max="11521" width="6.7265625" style="466" customWidth="1"/>
    <col min="11522" max="11522" width="5.26953125" style="466" customWidth="1"/>
    <col min="11523" max="11523" width="10.81640625" style="466" customWidth="1"/>
    <col min="11524" max="11524" width="5.54296875" style="466" customWidth="1"/>
    <col min="11525" max="11525" width="6.7265625" style="466" customWidth="1"/>
    <col min="11526" max="11526" width="36.26953125" style="466" customWidth="1"/>
    <col min="11527" max="11528" width="0" style="466" hidden="1" customWidth="1"/>
    <col min="11529" max="11529" width="15.81640625" style="466" customWidth="1"/>
    <col min="11530" max="11530" width="16.7265625" style="466" bestFit="1" customWidth="1"/>
    <col min="11531" max="11533" width="16.1796875" style="466" bestFit="1" customWidth="1"/>
    <col min="11534" max="11534" width="10.26953125" style="466" bestFit="1" customWidth="1"/>
    <col min="11535" max="11535" width="14.81640625" style="466" bestFit="1" customWidth="1"/>
    <col min="11536" max="11776" width="8.7265625" style="466"/>
    <col min="11777" max="11777" width="6.7265625" style="466" customWidth="1"/>
    <col min="11778" max="11778" width="5.26953125" style="466" customWidth="1"/>
    <col min="11779" max="11779" width="10.81640625" style="466" customWidth="1"/>
    <col min="11780" max="11780" width="5.54296875" style="466" customWidth="1"/>
    <col min="11781" max="11781" width="6.7265625" style="466" customWidth="1"/>
    <col min="11782" max="11782" width="36.26953125" style="466" customWidth="1"/>
    <col min="11783" max="11784" width="0" style="466" hidden="1" customWidth="1"/>
    <col min="11785" max="11785" width="15.81640625" style="466" customWidth="1"/>
    <col min="11786" max="11786" width="16.7265625" style="466" bestFit="1" customWidth="1"/>
    <col min="11787" max="11789" width="16.1796875" style="466" bestFit="1" customWidth="1"/>
    <col min="11790" max="11790" width="10.26953125" style="466" bestFit="1" customWidth="1"/>
    <col min="11791" max="11791" width="14.81640625" style="466" bestFit="1" customWidth="1"/>
    <col min="11792" max="12032" width="8.7265625" style="466"/>
    <col min="12033" max="12033" width="6.7265625" style="466" customWidth="1"/>
    <col min="12034" max="12034" width="5.26953125" style="466" customWidth="1"/>
    <col min="12035" max="12035" width="10.81640625" style="466" customWidth="1"/>
    <col min="12036" max="12036" width="5.54296875" style="466" customWidth="1"/>
    <col min="12037" max="12037" width="6.7265625" style="466" customWidth="1"/>
    <col min="12038" max="12038" width="36.26953125" style="466" customWidth="1"/>
    <col min="12039" max="12040" width="0" style="466" hidden="1" customWidth="1"/>
    <col min="12041" max="12041" width="15.81640625" style="466" customWidth="1"/>
    <col min="12042" max="12042" width="16.7265625" style="466" bestFit="1" customWidth="1"/>
    <col min="12043" max="12045" width="16.1796875" style="466" bestFit="1" customWidth="1"/>
    <col min="12046" max="12046" width="10.26953125" style="466" bestFit="1" customWidth="1"/>
    <col min="12047" max="12047" width="14.81640625" style="466" bestFit="1" customWidth="1"/>
    <col min="12048" max="12288" width="8.7265625" style="466"/>
    <col min="12289" max="12289" width="6.7265625" style="466" customWidth="1"/>
    <col min="12290" max="12290" width="5.26953125" style="466" customWidth="1"/>
    <col min="12291" max="12291" width="10.81640625" style="466" customWidth="1"/>
    <col min="12292" max="12292" width="5.54296875" style="466" customWidth="1"/>
    <col min="12293" max="12293" width="6.7265625" style="466" customWidth="1"/>
    <col min="12294" max="12294" width="36.26953125" style="466" customWidth="1"/>
    <col min="12295" max="12296" width="0" style="466" hidden="1" customWidth="1"/>
    <col min="12297" max="12297" width="15.81640625" style="466" customWidth="1"/>
    <col min="12298" max="12298" width="16.7265625" style="466" bestFit="1" customWidth="1"/>
    <col min="12299" max="12301" width="16.1796875" style="466" bestFit="1" customWidth="1"/>
    <col min="12302" max="12302" width="10.26953125" style="466" bestFit="1" customWidth="1"/>
    <col min="12303" max="12303" width="14.81640625" style="466" bestFit="1" customWidth="1"/>
    <col min="12304" max="12544" width="8.7265625" style="466"/>
    <col min="12545" max="12545" width="6.7265625" style="466" customWidth="1"/>
    <col min="12546" max="12546" width="5.26953125" style="466" customWidth="1"/>
    <col min="12547" max="12547" width="10.81640625" style="466" customWidth="1"/>
    <col min="12548" max="12548" width="5.54296875" style="466" customWidth="1"/>
    <col min="12549" max="12549" width="6.7265625" style="466" customWidth="1"/>
    <col min="12550" max="12550" width="36.26953125" style="466" customWidth="1"/>
    <col min="12551" max="12552" width="0" style="466" hidden="1" customWidth="1"/>
    <col min="12553" max="12553" width="15.81640625" style="466" customWidth="1"/>
    <col min="12554" max="12554" width="16.7265625" style="466" bestFit="1" customWidth="1"/>
    <col min="12555" max="12557" width="16.1796875" style="466" bestFit="1" customWidth="1"/>
    <col min="12558" max="12558" width="10.26953125" style="466" bestFit="1" customWidth="1"/>
    <col min="12559" max="12559" width="14.81640625" style="466" bestFit="1" customWidth="1"/>
    <col min="12560" max="12800" width="8.7265625" style="466"/>
    <col min="12801" max="12801" width="6.7265625" style="466" customWidth="1"/>
    <col min="12802" max="12802" width="5.26953125" style="466" customWidth="1"/>
    <col min="12803" max="12803" width="10.81640625" style="466" customWidth="1"/>
    <col min="12804" max="12804" width="5.54296875" style="466" customWidth="1"/>
    <col min="12805" max="12805" width="6.7265625" style="466" customWidth="1"/>
    <col min="12806" max="12806" width="36.26953125" style="466" customWidth="1"/>
    <col min="12807" max="12808" width="0" style="466" hidden="1" customWidth="1"/>
    <col min="12809" max="12809" width="15.81640625" style="466" customWidth="1"/>
    <col min="12810" max="12810" width="16.7265625" style="466" bestFit="1" customWidth="1"/>
    <col min="12811" max="12813" width="16.1796875" style="466" bestFit="1" customWidth="1"/>
    <col min="12814" max="12814" width="10.26953125" style="466" bestFit="1" customWidth="1"/>
    <col min="12815" max="12815" width="14.81640625" style="466" bestFit="1" customWidth="1"/>
    <col min="12816" max="13056" width="8.7265625" style="466"/>
    <col min="13057" max="13057" width="6.7265625" style="466" customWidth="1"/>
    <col min="13058" max="13058" width="5.26953125" style="466" customWidth="1"/>
    <col min="13059" max="13059" width="10.81640625" style="466" customWidth="1"/>
    <col min="13060" max="13060" width="5.54296875" style="466" customWidth="1"/>
    <col min="13061" max="13061" width="6.7265625" style="466" customWidth="1"/>
    <col min="13062" max="13062" width="36.26953125" style="466" customWidth="1"/>
    <col min="13063" max="13064" width="0" style="466" hidden="1" customWidth="1"/>
    <col min="13065" max="13065" width="15.81640625" style="466" customWidth="1"/>
    <col min="13066" max="13066" width="16.7265625" style="466" bestFit="1" customWidth="1"/>
    <col min="13067" max="13069" width="16.1796875" style="466" bestFit="1" customWidth="1"/>
    <col min="13070" max="13070" width="10.26953125" style="466" bestFit="1" customWidth="1"/>
    <col min="13071" max="13071" width="14.81640625" style="466" bestFit="1" customWidth="1"/>
    <col min="13072" max="13312" width="8.7265625" style="466"/>
    <col min="13313" max="13313" width="6.7265625" style="466" customWidth="1"/>
    <col min="13314" max="13314" width="5.26953125" style="466" customWidth="1"/>
    <col min="13315" max="13315" width="10.81640625" style="466" customWidth="1"/>
    <col min="13316" max="13316" width="5.54296875" style="466" customWidth="1"/>
    <col min="13317" max="13317" width="6.7265625" style="466" customWidth="1"/>
    <col min="13318" max="13318" width="36.26953125" style="466" customWidth="1"/>
    <col min="13319" max="13320" width="0" style="466" hidden="1" customWidth="1"/>
    <col min="13321" max="13321" width="15.81640625" style="466" customWidth="1"/>
    <col min="13322" max="13322" width="16.7265625" style="466" bestFit="1" customWidth="1"/>
    <col min="13323" max="13325" width="16.1796875" style="466" bestFit="1" customWidth="1"/>
    <col min="13326" max="13326" width="10.26953125" style="466" bestFit="1" customWidth="1"/>
    <col min="13327" max="13327" width="14.81640625" style="466" bestFit="1" customWidth="1"/>
    <col min="13328" max="13568" width="8.7265625" style="466"/>
    <col min="13569" max="13569" width="6.7265625" style="466" customWidth="1"/>
    <col min="13570" max="13570" width="5.26953125" style="466" customWidth="1"/>
    <col min="13571" max="13571" width="10.81640625" style="466" customWidth="1"/>
    <col min="13572" max="13572" width="5.54296875" style="466" customWidth="1"/>
    <col min="13573" max="13573" width="6.7265625" style="466" customWidth="1"/>
    <col min="13574" max="13574" width="36.26953125" style="466" customWidth="1"/>
    <col min="13575" max="13576" width="0" style="466" hidden="1" customWidth="1"/>
    <col min="13577" max="13577" width="15.81640625" style="466" customWidth="1"/>
    <col min="13578" max="13578" width="16.7265625" style="466" bestFit="1" customWidth="1"/>
    <col min="13579" max="13581" width="16.1796875" style="466" bestFit="1" customWidth="1"/>
    <col min="13582" max="13582" width="10.26953125" style="466" bestFit="1" customWidth="1"/>
    <col min="13583" max="13583" width="14.81640625" style="466" bestFit="1" customWidth="1"/>
    <col min="13584" max="13824" width="8.7265625" style="466"/>
    <col min="13825" max="13825" width="6.7265625" style="466" customWidth="1"/>
    <col min="13826" max="13826" width="5.26953125" style="466" customWidth="1"/>
    <col min="13827" max="13827" width="10.81640625" style="466" customWidth="1"/>
    <col min="13828" max="13828" width="5.54296875" style="466" customWidth="1"/>
    <col min="13829" max="13829" width="6.7265625" style="466" customWidth="1"/>
    <col min="13830" max="13830" width="36.26953125" style="466" customWidth="1"/>
    <col min="13831" max="13832" width="0" style="466" hidden="1" customWidth="1"/>
    <col min="13833" max="13833" width="15.81640625" style="466" customWidth="1"/>
    <col min="13834" max="13834" width="16.7265625" style="466" bestFit="1" customWidth="1"/>
    <col min="13835" max="13837" width="16.1796875" style="466" bestFit="1" customWidth="1"/>
    <col min="13838" max="13838" width="10.26953125" style="466" bestFit="1" customWidth="1"/>
    <col min="13839" max="13839" width="14.81640625" style="466" bestFit="1" customWidth="1"/>
    <col min="13840" max="14080" width="8.7265625" style="466"/>
    <col min="14081" max="14081" width="6.7265625" style="466" customWidth="1"/>
    <col min="14082" max="14082" width="5.26953125" style="466" customWidth="1"/>
    <col min="14083" max="14083" width="10.81640625" style="466" customWidth="1"/>
    <col min="14084" max="14084" width="5.54296875" style="466" customWidth="1"/>
    <col min="14085" max="14085" width="6.7265625" style="466" customWidth="1"/>
    <col min="14086" max="14086" width="36.26953125" style="466" customWidth="1"/>
    <col min="14087" max="14088" width="0" style="466" hidden="1" customWidth="1"/>
    <col min="14089" max="14089" width="15.81640625" style="466" customWidth="1"/>
    <col min="14090" max="14090" width="16.7265625" style="466" bestFit="1" customWidth="1"/>
    <col min="14091" max="14093" width="16.1796875" style="466" bestFit="1" customWidth="1"/>
    <col min="14094" max="14094" width="10.26953125" style="466" bestFit="1" customWidth="1"/>
    <col min="14095" max="14095" width="14.81640625" style="466" bestFit="1" customWidth="1"/>
    <col min="14096" max="14336" width="8.7265625" style="466"/>
    <col min="14337" max="14337" width="6.7265625" style="466" customWidth="1"/>
    <col min="14338" max="14338" width="5.26953125" style="466" customWidth="1"/>
    <col min="14339" max="14339" width="10.81640625" style="466" customWidth="1"/>
    <col min="14340" max="14340" width="5.54296875" style="466" customWidth="1"/>
    <col min="14341" max="14341" width="6.7265625" style="466" customWidth="1"/>
    <col min="14342" max="14342" width="36.26953125" style="466" customWidth="1"/>
    <col min="14343" max="14344" width="0" style="466" hidden="1" customWidth="1"/>
    <col min="14345" max="14345" width="15.81640625" style="466" customWidth="1"/>
    <col min="14346" max="14346" width="16.7265625" style="466" bestFit="1" customWidth="1"/>
    <col min="14347" max="14349" width="16.1796875" style="466" bestFit="1" customWidth="1"/>
    <col min="14350" max="14350" width="10.26953125" style="466" bestFit="1" customWidth="1"/>
    <col min="14351" max="14351" width="14.81640625" style="466" bestFit="1" customWidth="1"/>
    <col min="14352" max="14592" width="8.7265625" style="466"/>
    <col min="14593" max="14593" width="6.7265625" style="466" customWidth="1"/>
    <col min="14594" max="14594" width="5.26953125" style="466" customWidth="1"/>
    <col min="14595" max="14595" width="10.81640625" style="466" customWidth="1"/>
    <col min="14596" max="14596" width="5.54296875" style="466" customWidth="1"/>
    <col min="14597" max="14597" width="6.7265625" style="466" customWidth="1"/>
    <col min="14598" max="14598" width="36.26953125" style="466" customWidth="1"/>
    <col min="14599" max="14600" width="0" style="466" hidden="1" customWidth="1"/>
    <col min="14601" max="14601" width="15.81640625" style="466" customWidth="1"/>
    <col min="14602" max="14602" width="16.7265625" style="466" bestFit="1" customWidth="1"/>
    <col min="14603" max="14605" width="16.1796875" style="466" bestFit="1" customWidth="1"/>
    <col min="14606" max="14606" width="10.26953125" style="466" bestFit="1" customWidth="1"/>
    <col min="14607" max="14607" width="14.81640625" style="466" bestFit="1" customWidth="1"/>
    <col min="14608" max="14848" width="8.7265625" style="466"/>
    <col min="14849" max="14849" width="6.7265625" style="466" customWidth="1"/>
    <col min="14850" max="14850" width="5.26953125" style="466" customWidth="1"/>
    <col min="14851" max="14851" width="10.81640625" style="466" customWidth="1"/>
    <col min="14852" max="14852" width="5.54296875" style="466" customWidth="1"/>
    <col min="14853" max="14853" width="6.7265625" style="466" customWidth="1"/>
    <col min="14854" max="14854" width="36.26953125" style="466" customWidth="1"/>
    <col min="14855" max="14856" width="0" style="466" hidden="1" customWidth="1"/>
    <col min="14857" max="14857" width="15.81640625" style="466" customWidth="1"/>
    <col min="14858" max="14858" width="16.7265625" style="466" bestFit="1" customWidth="1"/>
    <col min="14859" max="14861" width="16.1796875" style="466" bestFit="1" customWidth="1"/>
    <col min="14862" max="14862" width="10.26953125" style="466" bestFit="1" customWidth="1"/>
    <col min="14863" max="14863" width="14.81640625" style="466" bestFit="1" customWidth="1"/>
    <col min="14864" max="15104" width="8.7265625" style="466"/>
    <col min="15105" max="15105" width="6.7265625" style="466" customWidth="1"/>
    <col min="15106" max="15106" width="5.26953125" style="466" customWidth="1"/>
    <col min="15107" max="15107" width="10.81640625" style="466" customWidth="1"/>
    <col min="15108" max="15108" width="5.54296875" style="466" customWidth="1"/>
    <col min="15109" max="15109" width="6.7265625" style="466" customWidth="1"/>
    <col min="15110" max="15110" width="36.26953125" style="466" customWidth="1"/>
    <col min="15111" max="15112" width="0" style="466" hidden="1" customWidth="1"/>
    <col min="15113" max="15113" width="15.81640625" style="466" customWidth="1"/>
    <col min="15114" max="15114" width="16.7265625" style="466" bestFit="1" customWidth="1"/>
    <col min="15115" max="15117" width="16.1796875" style="466" bestFit="1" customWidth="1"/>
    <col min="15118" max="15118" width="10.26953125" style="466" bestFit="1" customWidth="1"/>
    <col min="15119" max="15119" width="14.81640625" style="466" bestFit="1" customWidth="1"/>
    <col min="15120" max="15360" width="8.7265625" style="466"/>
    <col min="15361" max="15361" width="6.7265625" style="466" customWidth="1"/>
    <col min="15362" max="15362" width="5.26953125" style="466" customWidth="1"/>
    <col min="15363" max="15363" width="10.81640625" style="466" customWidth="1"/>
    <col min="15364" max="15364" width="5.54296875" style="466" customWidth="1"/>
    <col min="15365" max="15365" width="6.7265625" style="466" customWidth="1"/>
    <col min="15366" max="15366" width="36.26953125" style="466" customWidth="1"/>
    <col min="15367" max="15368" width="0" style="466" hidden="1" customWidth="1"/>
    <col min="15369" max="15369" width="15.81640625" style="466" customWidth="1"/>
    <col min="15370" max="15370" width="16.7265625" style="466" bestFit="1" customWidth="1"/>
    <col min="15371" max="15373" width="16.1796875" style="466" bestFit="1" customWidth="1"/>
    <col min="15374" max="15374" width="10.26953125" style="466" bestFit="1" customWidth="1"/>
    <col min="15375" max="15375" width="14.81640625" style="466" bestFit="1" customWidth="1"/>
    <col min="15376" max="15616" width="8.7265625" style="466"/>
    <col min="15617" max="15617" width="6.7265625" style="466" customWidth="1"/>
    <col min="15618" max="15618" width="5.26953125" style="466" customWidth="1"/>
    <col min="15619" max="15619" width="10.81640625" style="466" customWidth="1"/>
    <col min="15620" max="15620" width="5.54296875" style="466" customWidth="1"/>
    <col min="15621" max="15621" width="6.7265625" style="466" customWidth="1"/>
    <col min="15622" max="15622" width="36.26953125" style="466" customWidth="1"/>
    <col min="15623" max="15624" width="0" style="466" hidden="1" customWidth="1"/>
    <col min="15625" max="15625" width="15.81640625" style="466" customWidth="1"/>
    <col min="15626" max="15626" width="16.7265625" style="466" bestFit="1" customWidth="1"/>
    <col min="15627" max="15629" width="16.1796875" style="466" bestFit="1" customWidth="1"/>
    <col min="15630" max="15630" width="10.26953125" style="466" bestFit="1" customWidth="1"/>
    <col min="15631" max="15631" width="14.81640625" style="466" bestFit="1" customWidth="1"/>
    <col min="15632" max="15872" width="8.7265625" style="466"/>
    <col min="15873" max="15873" width="6.7265625" style="466" customWidth="1"/>
    <col min="15874" max="15874" width="5.26953125" style="466" customWidth="1"/>
    <col min="15875" max="15875" width="10.81640625" style="466" customWidth="1"/>
    <col min="15876" max="15876" width="5.54296875" style="466" customWidth="1"/>
    <col min="15877" max="15877" width="6.7265625" style="466" customWidth="1"/>
    <col min="15878" max="15878" width="36.26953125" style="466" customWidth="1"/>
    <col min="15879" max="15880" width="0" style="466" hidden="1" customWidth="1"/>
    <col min="15881" max="15881" width="15.81640625" style="466" customWidth="1"/>
    <col min="15882" max="15882" width="16.7265625" style="466" bestFit="1" customWidth="1"/>
    <col min="15883" max="15885" width="16.1796875" style="466" bestFit="1" customWidth="1"/>
    <col min="15886" max="15886" width="10.26953125" style="466" bestFit="1" customWidth="1"/>
    <col min="15887" max="15887" width="14.81640625" style="466" bestFit="1" customWidth="1"/>
    <col min="15888" max="16128" width="8.7265625" style="466"/>
    <col min="16129" max="16129" width="6.7265625" style="466" customWidth="1"/>
    <col min="16130" max="16130" width="5.26953125" style="466" customWidth="1"/>
    <col min="16131" max="16131" width="10.81640625" style="466" customWidth="1"/>
    <col min="16132" max="16132" width="5.54296875" style="466" customWidth="1"/>
    <col min="16133" max="16133" width="6.7265625" style="466" customWidth="1"/>
    <col min="16134" max="16134" width="36.26953125" style="466" customWidth="1"/>
    <col min="16135" max="16136" width="0" style="466" hidden="1" customWidth="1"/>
    <col min="16137" max="16137" width="15.81640625" style="466" customWidth="1"/>
    <col min="16138" max="16138" width="16.7265625" style="466" bestFit="1" customWidth="1"/>
    <col min="16139" max="16141" width="16.1796875" style="466" bestFit="1" customWidth="1"/>
    <col min="16142" max="16142" width="10.26953125" style="466" bestFit="1" customWidth="1"/>
    <col min="16143" max="16143" width="14.81640625" style="466" bestFit="1" customWidth="1"/>
    <col min="16144" max="16384" width="8.7265625" style="466"/>
  </cols>
  <sheetData>
    <row r="1" spans="1:13" ht="20.149999999999999" customHeight="1">
      <c r="A1" s="674" t="s">
        <v>421</v>
      </c>
      <c r="B1" s="675"/>
      <c r="C1" s="675"/>
      <c r="D1" s="675"/>
      <c r="E1" s="675"/>
      <c r="F1" s="675"/>
      <c r="G1" s="675"/>
      <c r="H1" s="675"/>
      <c r="I1" s="675"/>
      <c r="J1" s="675"/>
      <c r="K1" s="675"/>
      <c r="L1" s="675"/>
      <c r="M1" s="675"/>
    </row>
    <row r="2" spans="1:13" ht="20.149999999999999" customHeight="1">
      <c r="A2" s="676" t="s">
        <v>422</v>
      </c>
      <c r="B2" s="677"/>
      <c r="C2" s="677"/>
      <c r="D2" s="677"/>
      <c r="E2" s="677"/>
      <c r="F2" s="677"/>
      <c r="G2" s="677"/>
      <c r="H2" s="677"/>
      <c r="I2" s="677"/>
      <c r="J2" s="677"/>
      <c r="K2" s="677"/>
      <c r="L2" s="677"/>
      <c r="M2" s="677"/>
    </row>
    <row r="3" spans="1:13" ht="20.149999999999999" customHeight="1">
      <c r="A3" s="660" t="s">
        <v>423</v>
      </c>
      <c r="B3" s="661"/>
      <c r="C3" s="661"/>
      <c r="D3" s="661"/>
      <c r="E3" s="661"/>
      <c r="F3" s="661"/>
      <c r="G3" s="661"/>
      <c r="H3" s="661"/>
      <c r="I3" s="661"/>
      <c r="J3" s="661"/>
      <c r="K3" s="661"/>
      <c r="L3" s="661"/>
      <c r="M3" s="661"/>
    </row>
    <row r="4" spans="1:13" ht="20.149999999999999" customHeight="1">
      <c r="A4" s="467"/>
      <c r="B4" s="468" t="s">
        <v>728</v>
      </c>
      <c r="C4" s="469"/>
      <c r="D4" s="469"/>
      <c r="E4" s="468"/>
      <c r="F4" s="470"/>
      <c r="G4" s="470"/>
      <c r="H4" s="470"/>
      <c r="I4" s="471" t="s">
        <v>424</v>
      </c>
      <c r="J4" s="471" t="s">
        <v>425</v>
      </c>
      <c r="K4" s="471" t="s">
        <v>426</v>
      </c>
      <c r="L4" s="471" t="s">
        <v>427</v>
      </c>
      <c r="M4" s="471" t="s">
        <v>727</v>
      </c>
    </row>
    <row r="5" spans="1:13" ht="20.149999999999999" customHeight="1">
      <c r="A5" s="472"/>
      <c r="B5" s="658"/>
      <c r="C5" s="658"/>
      <c r="D5" s="658"/>
      <c r="E5" s="658"/>
      <c r="F5" s="474"/>
      <c r="G5" s="474"/>
      <c r="H5" s="474"/>
      <c r="I5" s="475" t="s">
        <v>332</v>
      </c>
      <c r="J5" s="475" t="s">
        <v>332</v>
      </c>
      <c r="K5" s="475" t="s">
        <v>428</v>
      </c>
      <c r="L5" s="475" t="s">
        <v>39</v>
      </c>
      <c r="M5" s="475" t="s">
        <v>39</v>
      </c>
    </row>
    <row r="6" spans="1:13" ht="20.149999999999999" customHeight="1">
      <c r="A6" s="476"/>
      <c r="B6" s="477"/>
      <c r="C6" s="477"/>
      <c r="D6" s="477"/>
      <c r="E6" s="477"/>
      <c r="F6" s="478"/>
      <c r="G6" s="478"/>
      <c r="H6" s="478"/>
      <c r="I6" s="479"/>
      <c r="J6" s="479"/>
      <c r="K6" s="479"/>
      <c r="L6" s="480"/>
      <c r="M6" s="480"/>
    </row>
    <row r="7" spans="1:13" ht="20.149999999999999" customHeight="1">
      <c r="A7" s="476">
        <v>1</v>
      </c>
      <c r="B7" s="477" t="s">
        <v>429</v>
      </c>
      <c r="C7" s="477"/>
      <c r="D7" s="481" t="s">
        <v>31</v>
      </c>
      <c r="E7" s="477" t="s">
        <v>31</v>
      </c>
      <c r="F7" s="474"/>
      <c r="G7" s="474"/>
      <c r="H7" s="474"/>
      <c r="I7" s="482">
        <f>+'Project PL  Combined'!B8</f>
        <v>0</v>
      </c>
      <c r="J7" s="482">
        <f>+'Project PL  Combined'!C8</f>
        <v>55.939999999999991</v>
      </c>
      <c r="K7" s="482">
        <f>+'Project PL  Combined'!D8</f>
        <v>687.33361086956529</v>
      </c>
      <c r="L7" s="482">
        <f>+'Project PL  Combined'!E8</f>
        <v>1431.5283559782606</v>
      </c>
      <c r="M7" s="482">
        <f>+'Project PL  Combined'!F8</f>
        <v>2511.8899065217388</v>
      </c>
    </row>
    <row r="8" spans="1:13" ht="20.149999999999999" customHeight="1">
      <c r="A8" s="476"/>
      <c r="B8" s="477"/>
      <c r="C8" s="477"/>
      <c r="D8" s="483" t="s">
        <v>31</v>
      </c>
      <c r="E8" s="477" t="s">
        <v>31</v>
      </c>
      <c r="F8" s="474"/>
      <c r="G8" s="474"/>
      <c r="H8" s="474"/>
      <c r="I8" s="484"/>
      <c r="J8" s="485"/>
      <c r="K8" s="484"/>
      <c r="L8" s="485"/>
      <c r="M8" s="485"/>
    </row>
    <row r="9" spans="1:13" ht="20.149999999999999" customHeight="1">
      <c r="A9" s="476"/>
      <c r="B9" s="477" t="s">
        <v>430</v>
      </c>
      <c r="C9" s="477"/>
      <c r="D9" s="477"/>
      <c r="E9" s="477"/>
      <c r="F9" s="474"/>
      <c r="G9" s="474"/>
      <c r="H9" s="474"/>
      <c r="I9" s="485">
        <v>0</v>
      </c>
      <c r="J9" s="485">
        <v>0</v>
      </c>
      <c r="K9" s="485">
        <v>0</v>
      </c>
      <c r="L9" s="485">
        <v>0</v>
      </c>
      <c r="M9" s="485">
        <v>0</v>
      </c>
    </row>
    <row r="10" spans="1:13" ht="20.149999999999999" customHeight="1">
      <c r="A10" s="476"/>
      <c r="B10" s="477"/>
      <c r="C10" s="477" t="s">
        <v>0</v>
      </c>
      <c r="D10" s="477"/>
      <c r="E10" s="477"/>
      <c r="F10" s="474"/>
      <c r="G10" s="474"/>
      <c r="H10" s="474"/>
      <c r="I10" s="486">
        <f>SUM(I7:I9)</f>
        <v>0</v>
      </c>
      <c r="J10" s="486">
        <f>SUM(J7:J9)</f>
        <v>55.939999999999991</v>
      </c>
      <c r="K10" s="487">
        <f>SUM(K7:K9)</f>
        <v>687.33361086956529</v>
      </c>
      <c r="L10" s="487">
        <f>SUM(L7:L9)</f>
        <v>1431.5283559782606</v>
      </c>
      <c r="M10" s="487">
        <f>SUM(M7:M9)</f>
        <v>2511.8899065217388</v>
      </c>
    </row>
    <row r="11" spans="1:13" ht="20.149999999999999" customHeight="1">
      <c r="A11" s="476">
        <v>2</v>
      </c>
      <c r="B11" s="477" t="s">
        <v>431</v>
      </c>
      <c r="C11" s="477"/>
      <c r="D11" s="477"/>
      <c r="E11" s="477"/>
      <c r="F11" s="474"/>
      <c r="G11" s="474"/>
      <c r="H11" s="474"/>
      <c r="I11" s="485">
        <v>0</v>
      </c>
      <c r="J11" s="485">
        <v>0</v>
      </c>
      <c r="K11" s="485">
        <v>0</v>
      </c>
      <c r="L11" s="485">
        <v>0</v>
      </c>
      <c r="M11" s="485">
        <v>0</v>
      </c>
    </row>
    <row r="12" spans="1:13" ht="20.149999999999999" customHeight="1">
      <c r="A12" s="476"/>
      <c r="B12" s="477"/>
      <c r="C12" s="477"/>
      <c r="D12" s="477"/>
      <c r="E12" s="477"/>
      <c r="F12" s="474"/>
      <c r="G12" s="474"/>
      <c r="H12" s="474"/>
      <c r="I12" s="485"/>
      <c r="J12" s="485"/>
      <c r="K12" s="484"/>
      <c r="L12" s="485">
        <v>0</v>
      </c>
      <c r="M12" s="485">
        <v>0</v>
      </c>
    </row>
    <row r="13" spans="1:13" ht="20.149999999999999" customHeight="1">
      <c r="A13" s="476">
        <v>3</v>
      </c>
      <c r="B13" s="477"/>
      <c r="C13" s="488" t="s">
        <v>432</v>
      </c>
      <c r="D13" s="488"/>
      <c r="E13" s="488"/>
      <c r="F13" s="489"/>
      <c r="G13" s="489"/>
      <c r="H13" s="489"/>
      <c r="I13" s="490">
        <f>I10-I11-I12</f>
        <v>0</v>
      </c>
      <c r="J13" s="490">
        <f>J10-J11-J12</f>
        <v>55.939999999999991</v>
      </c>
      <c r="K13" s="491">
        <f>K10-K11-K12</f>
        <v>687.33361086956529</v>
      </c>
      <c r="L13" s="491">
        <f>L10-L11-L12</f>
        <v>1431.5283559782606</v>
      </c>
      <c r="M13" s="491">
        <f>M10-M11-M12</f>
        <v>2511.8899065217388</v>
      </c>
    </row>
    <row r="14" spans="1:13" ht="20.149999999999999" customHeight="1">
      <c r="A14" s="476">
        <v>4</v>
      </c>
      <c r="B14" s="477" t="s">
        <v>433</v>
      </c>
      <c r="C14" s="477"/>
      <c r="D14" s="477"/>
      <c r="E14" s="477"/>
      <c r="F14" s="474"/>
      <c r="G14" s="474"/>
      <c r="H14" s="474"/>
      <c r="I14" s="485">
        <v>0</v>
      </c>
      <c r="J14" s="492" t="e">
        <f>(+J13-I13)/I13</f>
        <v>#DIV/0!</v>
      </c>
      <c r="K14" s="492">
        <f>(+K13-J13)/J13</f>
        <v>11.286979100278252</v>
      </c>
      <c r="L14" s="492">
        <f>+(L13-K13)/K13</f>
        <v>1.082727126012641</v>
      </c>
      <c r="M14" s="492">
        <f>+(M13-L13)/L13</f>
        <v>0.75469098885239594</v>
      </c>
    </row>
    <row r="15" spans="1:13" ht="20.149999999999999" customHeight="1">
      <c r="A15" s="476"/>
      <c r="B15" s="477" t="s">
        <v>434</v>
      </c>
      <c r="C15" s="477"/>
      <c r="D15" s="477"/>
      <c r="E15" s="477"/>
      <c r="F15" s="474"/>
      <c r="G15" s="474"/>
      <c r="H15" s="474"/>
      <c r="I15" s="484"/>
      <c r="J15" s="484"/>
      <c r="K15" s="484"/>
      <c r="L15" s="485">
        <v>0</v>
      </c>
      <c r="M15" s="485">
        <v>0</v>
      </c>
    </row>
    <row r="16" spans="1:13" ht="20.149999999999999" customHeight="1">
      <c r="A16" s="476">
        <v>5</v>
      </c>
      <c r="B16" s="477" t="s">
        <v>129</v>
      </c>
      <c r="C16" s="477"/>
      <c r="D16" s="477"/>
      <c r="E16" s="477"/>
      <c r="F16" s="474"/>
      <c r="G16" s="474"/>
      <c r="H16" s="474"/>
      <c r="I16" s="484"/>
      <c r="J16" s="484"/>
      <c r="K16" s="484"/>
      <c r="L16" s="485">
        <v>0</v>
      </c>
      <c r="M16" s="485">
        <v>0</v>
      </c>
    </row>
    <row r="17" spans="1:15" ht="20.149999999999999" customHeight="1">
      <c r="A17" s="476"/>
      <c r="B17" s="477" t="s">
        <v>435</v>
      </c>
      <c r="C17" s="477" t="s">
        <v>436</v>
      </c>
      <c r="D17" s="477"/>
      <c r="E17" s="477"/>
      <c r="F17" s="474"/>
      <c r="G17" s="474"/>
      <c r="H17" s="474"/>
      <c r="I17" s="493">
        <f>+I20+I19</f>
        <v>0</v>
      </c>
      <c r="J17" s="493">
        <f>+J20+J19</f>
        <v>170.73000000000002</v>
      </c>
      <c r="K17" s="493">
        <f>+K20+K19</f>
        <v>464.85445217391299</v>
      </c>
      <c r="L17" s="493">
        <f>+L20+L19</f>
        <v>1008.8323586956524</v>
      </c>
      <c r="M17" s="493">
        <f>+M20+M19</f>
        <v>1462.0992913043481</v>
      </c>
    </row>
    <row r="18" spans="1:15" ht="20.149999999999999" customHeight="1">
      <c r="A18" s="476"/>
      <c r="B18" s="477"/>
      <c r="C18" s="477" t="s">
        <v>437</v>
      </c>
      <c r="D18" s="477"/>
      <c r="E18" s="477"/>
      <c r="F18" s="474"/>
      <c r="G18" s="474"/>
      <c r="H18" s="474"/>
      <c r="I18" s="484"/>
      <c r="J18" s="485"/>
      <c r="K18" s="484"/>
      <c r="L18" s="485">
        <v>0</v>
      </c>
      <c r="M18" s="485">
        <v>0</v>
      </c>
    </row>
    <row r="19" spans="1:15" ht="20.149999999999999" customHeight="1">
      <c r="A19" s="476"/>
      <c r="B19" s="477"/>
      <c r="C19" s="477" t="s">
        <v>438</v>
      </c>
      <c r="D19" s="477"/>
      <c r="E19" s="477"/>
      <c r="F19" s="474"/>
      <c r="G19" s="474"/>
      <c r="H19" s="474"/>
      <c r="I19" s="494"/>
      <c r="J19" s="494"/>
      <c r="K19" s="494"/>
      <c r="L19" s="494"/>
      <c r="M19" s="494"/>
    </row>
    <row r="20" spans="1:15" ht="20.149999999999999" customHeight="1">
      <c r="A20" s="476"/>
      <c r="B20" s="477"/>
      <c r="C20" s="477" t="s">
        <v>439</v>
      </c>
      <c r="D20" s="477"/>
      <c r="E20" s="477"/>
      <c r="F20" s="474"/>
      <c r="G20" s="474"/>
      <c r="H20" s="474"/>
      <c r="I20" s="482">
        <f>+SUM('Production, Revenue &amp; Profit'!D224:D228)+SUM('Production, Revenue &amp; Profi P2'!D214:D218)</f>
        <v>0</v>
      </c>
      <c r="J20" s="482">
        <f>+SUM('Production, Revenue &amp; Profit'!E224:E228)+SUM('Production, Revenue &amp; Profi P2'!E214:E218)</f>
        <v>170.73000000000002</v>
      </c>
      <c r="K20" s="482">
        <f>+SUM('Production, Revenue &amp; Profit'!F224:F228)+SUM('Production, Revenue &amp; Profi P2'!F214:F218)</f>
        <v>464.85445217391299</v>
      </c>
      <c r="L20" s="482">
        <f>+SUM('Production, Revenue &amp; Profit'!G224:G228)+SUM('Production, Revenue &amp; Profi P2'!G214:G218)</f>
        <v>1008.8323586956524</v>
      </c>
      <c r="M20" s="482">
        <f>+SUM('Production, Revenue &amp; Profit'!H224:H228)+SUM('Production, Revenue &amp; Profi P2'!H214:H218)</f>
        <v>1462.0992913043481</v>
      </c>
    </row>
    <row r="21" spans="1:15" ht="20.149999999999999" customHeight="1">
      <c r="A21" s="476"/>
      <c r="B21" s="477" t="s">
        <v>440</v>
      </c>
      <c r="C21" s="477" t="s">
        <v>441</v>
      </c>
      <c r="D21" s="477"/>
      <c r="E21" s="477"/>
      <c r="F21" s="474"/>
      <c r="G21" s="474"/>
      <c r="H21" s="474"/>
      <c r="I21" s="484"/>
      <c r="J21" s="485"/>
      <c r="K21" s="485"/>
      <c r="L21" s="485"/>
      <c r="M21" s="485"/>
      <c r="N21" s="495"/>
      <c r="O21" s="495"/>
    </row>
    <row r="22" spans="1:15" ht="20.149999999999999" customHeight="1">
      <c r="A22" s="476"/>
      <c r="B22" s="477"/>
      <c r="C22" s="477" t="s">
        <v>438</v>
      </c>
      <c r="D22" s="477"/>
      <c r="E22" s="477"/>
      <c r="F22" s="474"/>
      <c r="G22" s="474"/>
      <c r="H22" s="474"/>
      <c r="I22" s="496">
        <f>+'[33]Project PL '!D14</f>
        <v>0</v>
      </c>
      <c r="J22" s="485"/>
      <c r="K22" s="485"/>
      <c r="L22" s="485"/>
      <c r="M22" s="485"/>
    </row>
    <row r="23" spans="1:15" ht="20.149999999999999" customHeight="1">
      <c r="A23" s="476"/>
      <c r="B23" s="477"/>
      <c r="C23" s="477" t="s">
        <v>439</v>
      </c>
      <c r="D23" s="477"/>
      <c r="E23" s="477"/>
      <c r="F23" s="474"/>
      <c r="G23" s="474"/>
      <c r="H23" s="474"/>
      <c r="I23" s="482">
        <v>0</v>
      </c>
      <c r="J23" s="482">
        <v>0</v>
      </c>
      <c r="K23" s="482">
        <v>0</v>
      </c>
      <c r="L23" s="482">
        <v>0</v>
      </c>
      <c r="M23" s="482">
        <v>0</v>
      </c>
      <c r="N23" s="497"/>
      <c r="O23" s="497"/>
    </row>
    <row r="24" spans="1:15" ht="20.149999999999999" customHeight="1">
      <c r="A24" s="476"/>
      <c r="B24" s="477" t="s">
        <v>442</v>
      </c>
      <c r="C24" s="477" t="s">
        <v>443</v>
      </c>
      <c r="D24" s="477"/>
      <c r="E24" s="477"/>
      <c r="F24" s="474"/>
      <c r="G24" s="474"/>
      <c r="H24" s="474"/>
      <c r="I24" s="482">
        <f>+'Production, Revenue &amp; Profit'!D236+'Production, Revenue &amp; Profi P2'!D226</f>
        <v>0.48</v>
      </c>
      <c r="J24" s="482">
        <f>+'Production, Revenue &amp; Profit'!E236+'Production, Revenue &amp; Profi P2'!E226</f>
        <v>7.79</v>
      </c>
      <c r="K24" s="482">
        <f>+'Production, Revenue &amp; Profit'!F236+'Production, Revenue &amp; Profi P2'!F226</f>
        <v>70.488</v>
      </c>
      <c r="L24" s="482">
        <f>+'Production, Revenue &amp; Profit'!G236+'Production, Revenue &amp; Profi P2'!G226</f>
        <v>163.15199999999999</v>
      </c>
      <c r="M24" s="482">
        <f>+'Production, Revenue &amp; Profit'!H236+'Production, Revenue &amp; Profi P2'!H226</f>
        <v>229.67999999999998</v>
      </c>
      <c r="N24" s="497"/>
      <c r="O24" s="497"/>
    </row>
    <row r="25" spans="1:15" ht="20.149999999999999" customHeight="1">
      <c r="A25" s="476"/>
      <c r="B25" s="477"/>
      <c r="C25" s="477" t="s">
        <v>444</v>
      </c>
      <c r="D25" s="477"/>
      <c r="E25" s="477"/>
      <c r="F25" s="474"/>
      <c r="G25" s="474"/>
      <c r="H25" s="474"/>
      <c r="I25" s="482">
        <f>+'Production, Revenue &amp; Profit'!D235+'Production, Revenue &amp; Profi P2'!D225</f>
        <v>0</v>
      </c>
      <c r="J25" s="482">
        <f>+'Production, Revenue &amp; Profit'!E235+'Production, Revenue &amp; Profi P2'!E225</f>
        <v>6.83</v>
      </c>
      <c r="K25" s="482">
        <f>+'Production, Revenue &amp; Profit'!F235+'Production, Revenue &amp; Profi P2'!F225</f>
        <v>27.703296000000002</v>
      </c>
      <c r="L25" s="482">
        <f>+'Production, Revenue &amp; Profit'!G235+'Production, Revenue &amp; Profi P2'!G225</f>
        <v>74.644992000000002</v>
      </c>
      <c r="M25" s="482">
        <f>+'Production, Revenue &amp; Profit'!H235+'Production, Revenue &amp; Profi P2'!H225</f>
        <v>112.352256</v>
      </c>
      <c r="N25" s="497"/>
      <c r="O25" s="497"/>
    </row>
    <row r="26" spans="1:15" ht="20.149999999999999" customHeight="1">
      <c r="A26" s="476"/>
      <c r="B26" s="477" t="s">
        <v>445</v>
      </c>
      <c r="C26" s="477" t="s">
        <v>446</v>
      </c>
      <c r="D26" s="477"/>
      <c r="E26" s="477"/>
      <c r="F26" s="474"/>
      <c r="G26" s="474"/>
      <c r="H26" s="474"/>
      <c r="I26" s="482">
        <f>+SUM('Production, Revenue &amp; Profit'!D229:D234)+SUM('Production, Revenue &amp; Profi P2'!D219:D224)</f>
        <v>0</v>
      </c>
      <c r="J26" s="482">
        <f>+SUM('Production, Revenue &amp; Profit'!E229:E234)+SUM('Production, Revenue &amp; Profi P2'!E219:E224)</f>
        <v>13.820000000000002</v>
      </c>
      <c r="K26" s="482">
        <f>+SUM('Production, Revenue &amp; Profit'!F229:F234)+SUM('Production, Revenue &amp; Profi P2'!F219:F224)</f>
        <v>53.049753913043482</v>
      </c>
      <c r="L26" s="482">
        <f>+SUM('Production, Revenue &amp; Profit'!G229:G234)+SUM('Production, Revenue &amp; Profi P2'!G219:G224)</f>
        <v>70.176570652173908</v>
      </c>
      <c r="M26" s="482">
        <f>+SUM('Production, Revenue &amp; Profit'!H229:H234)+SUM('Production, Revenue &amp; Profi P2'!H219:H224)</f>
        <v>118.95076434782607</v>
      </c>
      <c r="N26" s="497"/>
      <c r="O26" s="497"/>
    </row>
    <row r="27" spans="1:15" ht="20.149999999999999" customHeight="1">
      <c r="A27" s="476"/>
      <c r="B27" s="477" t="s">
        <v>447</v>
      </c>
      <c r="C27" s="477" t="s">
        <v>59</v>
      </c>
      <c r="D27" s="477"/>
      <c r="E27" s="477"/>
      <c r="F27" s="474"/>
      <c r="G27" s="474"/>
      <c r="H27" s="474"/>
      <c r="I27" s="482">
        <f>+'Production, Revenue &amp; Profit'!D248+'Production, Revenue &amp; Profi P2'!D238</f>
        <v>0</v>
      </c>
      <c r="J27" s="482">
        <f>+'Production, Revenue &amp; Profit'!E248+'Production, Revenue &amp; Profi P2'!E238</f>
        <v>5.35</v>
      </c>
      <c r="K27" s="482">
        <f>+'Production, Revenue &amp; Profit'!F248+'Production, Revenue &amp; Profi P2'!F238</f>
        <v>30.323935215750002</v>
      </c>
      <c r="L27" s="482">
        <f>+'Production, Revenue &amp; Profit'!G248+'Production, Revenue &amp; Profi P2'!G238</f>
        <v>55.295415782133333</v>
      </c>
      <c r="M27" s="482">
        <f>+'Production, Revenue &amp; Profit'!H248+'Production, Revenue &amp; Profi P2'!H238</f>
        <v>99.885922265533338</v>
      </c>
      <c r="N27" s="497"/>
      <c r="O27" s="497"/>
    </row>
    <row r="28" spans="1:15" ht="20.149999999999999" customHeight="1">
      <c r="A28" s="476"/>
      <c r="B28" s="477" t="s">
        <v>448</v>
      </c>
      <c r="C28" s="477" t="s">
        <v>449</v>
      </c>
      <c r="D28" s="477"/>
      <c r="E28" s="477"/>
      <c r="F28" s="474"/>
      <c r="G28" s="474"/>
      <c r="H28" s="474"/>
      <c r="I28" s="487">
        <f>I17+I21+I24+I26+I27+I23+I25</f>
        <v>0.48</v>
      </c>
      <c r="J28" s="487">
        <f>J17+J21+J24+J26+J27+J23+J25</f>
        <v>204.52</v>
      </c>
      <c r="K28" s="487">
        <f>K17+K21+K24+K26+K27+K23+K25</f>
        <v>646.41943730270646</v>
      </c>
      <c r="L28" s="487">
        <f>L17+L21+L24+L26+L27+L23+L25</f>
        <v>1372.1013371299598</v>
      </c>
      <c r="M28" s="487">
        <f>M17+M21+M24+M26+M27+M23+M25</f>
        <v>2022.9682339177073</v>
      </c>
      <c r="N28" s="495"/>
    </row>
    <row r="29" spans="1:15" ht="20.149999999999999" customHeight="1">
      <c r="A29" s="476"/>
      <c r="B29" s="477" t="s">
        <v>450</v>
      </c>
      <c r="C29" s="477" t="s">
        <v>451</v>
      </c>
      <c r="D29" s="477"/>
      <c r="E29" s="477"/>
      <c r="F29" s="474"/>
      <c r="G29" s="474"/>
      <c r="H29" s="474"/>
      <c r="I29" s="482">
        <v>0</v>
      </c>
      <c r="J29" s="482">
        <f>+I31</f>
        <v>0</v>
      </c>
      <c r="K29" s="482">
        <f t="shared" ref="K29:M29" si="0">+J31</f>
        <v>165.03</v>
      </c>
      <c r="L29" s="482">
        <f t="shared" si="0"/>
        <v>245.03</v>
      </c>
      <c r="M29" s="482">
        <f t="shared" si="0"/>
        <v>445.03</v>
      </c>
    </row>
    <row r="30" spans="1:15" ht="20.149999999999999" customHeight="1">
      <c r="A30" s="476"/>
      <c r="B30" s="477" t="s">
        <v>450</v>
      </c>
      <c r="C30" s="477"/>
      <c r="D30" s="477"/>
      <c r="E30" s="477"/>
      <c r="F30" s="474" t="s">
        <v>452</v>
      </c>
      <c r="G30" s="474"/>
      <c r="H30" s="474"/>
      <c r="I30" s="493">
        <f>I28+I29</f>
        <v>0.48</v>
      </c>
      <c r="J30" s="493">
        <f>J28+J29</f>
        <v>204.52</v>
      </c>
      <c r="K30" s="493">
        <f>K28+K29</f>
        <v>811.44943730270643</v>
      </c>
      <c r="L30" s="493">
        <f>L28+L29</f>
        <v>1617.1313371299598</v>
      </c>
      <c r="M30" s="493">
        <f>M28+M29</f>
        <v>2467.9982339177072</v>
      </c>
    </row>
    <row r="31" spans="1:15" ht="20.149999999999999" customHeight="1">
      <c r="A31" s="476"/>
      <c r="B31" s="477" t="s">
        <v>453</v>
      </c>
      <c r="C31" s="477" t="s">
        <v>454</v>
      </c>
      <c r="D31" s="477"/>
      <c r="E31" s="477"/>
      <c r="F31" s="474"/>
      <c r="G31" s="474"/>
      <c r="H31" s="474"/>
      <c r="I31" s="482">
        <f>+'Project BS Combined'!B25</f>
        <v>0</v>
      </c>
      <c r="J31" s="482">
        <f>+'Project BS Combined'!C25</f>
        <v>165.03</v>
      </c>
      <c r="K31" s="482">
        <f>+'Project BS Combined'!D25</f>
        <v>245.03</v>
      </c>
      <c r="L31" s="482">
        <f>+'Project BS Combined'!E25</f>
        <v>445.03</v>
      </c>
      <c r="M31" s="482">
        <f>+'Project BS Combined'!F25</f>
        <v>445.03</v>
      </c>
    </row>
    <row r="32" spans="1:15" ht="20.149999999999999" customHeight="1">
      <c r="A32" s="476"/>
      <c r="B32" s="477"/>
      <c r="C32" s="488" t="s">
        <v>455</v>
      </c>
      <c r="D32" s="488"/>
      <c r="E32" s="488"/>
      <c r="F32" s="489"/>
      <c r="G32" s="489"/>
      <c r="H32" s="489"/>
      <c r="I32" s="491">
        <f>I30-I31</f>
        <v>0.48</v>
      </c>
      <c r="J32" s="491">
        <f>J30-J31</f>
        <v>39.490000000000009</v>
      </c>
      <c r="K32" s="491">
        <f>K30-K31</f>
        <v>566.41943730270646</v>
      </c>
      <c r="L32" s="491">
        <f>L30-L31</f>
        <v>1172.1013371299598</v>
      </c>
      <c r="M32" s="491">
        <f>M30-M31</f>
        <v>2022.9682339177073</v>
      </c>
    </row>
    <row r="33" spans="1:21" ht="20.149999999999999" customHeight="1">
      <c r="A33" s="476"/>
      <c r="B33" s="488" t="s">
        <v>456</v>
      </c>
      <c r="C33" s="477" t="s">
        <v>457</v>
      </c>
      <c r="D33" s="477"/>
      <c r="E33" s="477"/>
      <c r="F33" s="474"/>
      <c r="G33" s="474"/>
      <c r="H33" s="474"/>
      <c r="I33" s="485">
        <v>0</v>
      </c>
      <c r="J33" s="485">
        <v>0</v>
      </c>
      <c r="K33" s="485">
        <v>0</v>
      </c>
      <c r="L33" s="485">
        <v>0</v>
      </c>
      <c r="M33" s="485">
        <v>0</v>
      </c>
      <c r="O33" s="498">
        <f>+I35-I33</f>
        <v>0</v>
      </c>
      <c r="P33" s="498">
        <f t="shared" ref="P33:U33" si="1">+J35-J33</f>
        <v>0</v>
      </c>
      <c r="Q33" s="498">
        <f t="shared" si="1"/>
        <v>0</v>
      </c>
      <c r="R33" s="498">
        <f t="shared" si="1"/>
        <v>0</v>
      </c>
      <c r="S33" s="498">
        <f t="shared" si="1"/>
        <v>0</v>
      </c>
      <c r="T33" s="498">
        <f t="shared" si="1"/>
        <v>0</v>
      </c>
      <c r="U33" s="498">
        <f t="shared" si="1"/>
        <v>0</v>
      </c>
    </row>
    <row r="34" spans="1:21" ht="20.149999999999999" customHeight="1">
      <c r="A34" s="476"/>
      <c r="B34" s="477" t="s">
        <v>458</v>
      </c>
      <c r="C34" s="477"/>
      <c r="D34" s="477"/>
      <c r="E34" s="477"/>
      <c r="F34" s="474" t="s">
        <v>452</v>
      </c>
      <c r="G34" s="474"/>
      <c r="H34" s="474"/>
      <c r="I34" s="493">
        <f>I32+I33</f>
        <v>0.48</v>
      </c>
      <c r="J34" s="493">
        <f>J32+J33</f>
        <v>39.490000000000009</v>
      </c>
      <c r="K34" s="493">
        <f>K32+K33</f>
        <v>566.41943730270646</v>
      </c>
      <c r="L34" s="493">
        <f>L32+L33</f>
        <v>1172.1013371299598</v>
      </c>
      <c r="M34" s="493">
        <f>M32+M33</f>
        <v>2022.9682339177073</v>
      </c>
    </row>
    <row r="35" spans="1:21" ht="20.149999999999999" customHeight="1">
      <c r="A35" s="476"/>
      <c r="B35" s="477" t="s">
        <v>459</v>
      </c>
      <c r="C35" s="477" t="s">
        <v>460</v>
      </c>
      <c r="D35" s="477"/>
      <c r="E35" s="477"/>
      <c r="F35" s="474"/>
      <c r="G35" s="474"/>
      <c r="H35" s="474"/>
      <c r="I35" s="485">
        <v>0</v>
      </c>
      <c r="J35" s="485">
        <v>0</v>
      </c>
      <c r="K35" s="485">
        <v>0</v>
      </c>
      <c r="L35" s="485">
        <v>0</v>
      </c>
      <c r="M35" s="485">
        <v>0</v>
      </c>
      <c r="N35" s="495"/>
      <c r="O35" s="495"/>
      <c r="P35" s="495"/>
      <c r="Q35" s="495"/>
    </row>
    <row r="36" spans="1:21" ht="20.149999999999999" customHeight="1">
      <c r="A36" s="476"/>
      <c r="B36" s="477"/>
      <c r="C36" s="488" t="s">
        <v>461</v>
      </c>
      <c r="D36" s="488"/>
      <c r="E36" s="488"/>
      <c r="F36" s="489"/>
      <c r="G36" s="489"/>
      <c r="H36" s="489"/>
      <c r="I36" s="491">
        <f>I34-I35</f>
        <v>0.48</v>
      </c>
      <c r="J36" s="491">
        <f>J34-J35</f>
        <v>39.490000000000009</v>
      </c>
      <c r="K36" s="491">
        <f>K34-K35</f>
        <v>566.41943730270646</v>
      </c>
      <c r="L36" s="491">
        <f>L34-L35</f>
        <v>1172.1013371299598</v>
      </c>
      <c r="M36" s="491">
        <f>M34-M35</f>
        <v>2022.9682339177073</v>
      </c>
      <c r="N36" s="495"/>
      <c r="O36" s="495"/>
      <c r="P36" s="495"/>
    </row>
    <row r="37" spans="1:21" ht="20.149999999999999" customHeight="1">
      <c r="A37" s="476"/>
      <c r="B37" s="477" t="s">
        <v>31</v>
      </c>
      <c r="C37" s="477"/>
      <c r="D37" s="477"/>
      <c r="E37" s="488" t="s">
        <v>462</v>
      </c>
      <c r="F37" s="474"/>
      <c r="G37" s="474"/>
      <c r="H37" s="474"/>
      <c r="I37" s="491">
        <f>I13-I36</f>
        <v>-0.48</v>
      </c>
      <c r="J37" s="491">
        <f>J13-J36</f>
        <v>16.449999999999982</v>
      </c>
      <c r="K37" s="491">
        <f>K13-K36</f>
        <v>120.91417356685884</v>
      </c>
      <c r="L37" s="491">
        <f>L13-L36</f>
        <v>259.4270188483008</v>
      </c>
      <c r="M37" s="491">
        <f>M13-M36</f>
        <v>488.92167260403153</v>
      </c>
      <c r="N37" s="499"/>
      <c r="O37" s="499"/>
      <c r="P37" s="499"/>
    </row>
    <row r="38" spans="1:21" ht="20.149999999999999" customHeight="1">
      <c r="A38" s="476"/>
      <c r="B38" s="477"/>
      <c r="C38" s="477" t="s">
        <v>463</v>
      </c>
      <c r="D38" s="477"/>
      <c r="E38" s="488"/>
      <c r="F38" s="474"/>
      <c r="G38" s="474"/>
      <c r="H38" s="474"/>
      <c r="I38" s="495" t="e">
        <f>I37/I7</f>
        <v>#DIV/0!</v>
      </c>
      <c r="J38" s="495">
        <f>+J37/$J$7</f>
        <v>0.29406506971755425</v>
      </c>
      <c r="K38" s="495">
        <f>+K37/$K$7</f>
        <v>0.17591773725991208</v>
      </c>
      <c r="L38" s="495">
        <f>+L37/$M$7</f>
        <v>0.10327961355899323</v>
      </c>
      <c r="M38" s="495">
        <f>+M37/$M$7</f>
        <v>0.19464295442830556</v>
      </c>
      <c r="N38" s="495"/>
      <c r="O38" s="495"/>
      <c r="P38" s="495"/>
      <c r="Q38" s="495"/>
      <c r="R38" s="495"/>
    </row>
    <row r="39" spans="1:21" ht="20.149999999999999" customHeight="1">
      <c r="A39" s="476">
        <v>6</v>
      </c>
      <c r="B39" s="477" t="s">
        <v>464</v>
      </c>
      <c r="C39" s="477"/>
      <c r="D39" s="477"/>
      <c r="E39" s="477"/>
      <c r="F39" s="474"/>
      <c r="G39" s="474"/>
      <c r="H39" s="474"/>
      <c r="I39" s="482">
        <f>+'Project PL  Combined'!B11</f>
        <v>1.4</v>
      </c>
      <c r="J39" s="482">
        <f>+'Project PL  Combined'!C11</f>
        <v>4.97</v>
      </c>
      <c r="K39" s="482">
        <f>+'Project PL  Combined'!D11</f>
        <v>7</v>
      </c>
      <c r="L39" s="482">
        <f>+'Project PL  Combined'!E11</f>
        <v>10</v>
      </c>
      <c r="M39" s="482">
        <f>+'Project PL  Combined'!F11</f>
        <v>20</v>
      </c>
      <c r="N39" s="495"/>
      <c r="O39" s="495"/>
      <c r="P39" s="495"/>
      <c r="Q39" s="495"/>
      <c r="R39" s="495"/>
    </row>
    <row r="40" spans="1:21" ht="20.149999999999999" customHeight="1">
      <c r="A40" s="476">
        <v>7</v>
      </c>
      <c r="B40" s="477"/>
      <c r="C40" s="488" t="s">
        <v>465</v>
      </c>
      <c r="D40" s="477"/>
      <c r="E40" s="477"/>
      <c r="F40" s="474"/>
      <c r="G40" s="474"/>
      <c r="H40" s="474"/>
      <c r="I40" s="493">
        <f>I36+I39</f>
        <v>1.88</v>
      </c>
      <c r="J40" s="493">
        <f>J36+J39</f>
        <v>44.460000000000008</v>
      </c>
      <c r="K40" s="493">
        <f>K36+K39</f>
        <v>573.41943730270646</v>
      </c>
      <c r="L40" s="493">
        <f>L36+L39</f>
        <v>1182.1013371299598</v>
      </c>
      <c r="M40" s="493">
        <f>M36+M39</f>
        <v>2042.9682339177073</v>
      </c>
    </row>
    <row r="41" spans="1:21" ht="20.149999999999999" customHeight="1">
      <c r="A41" s="476">
        <v>8</v>
      </c>
      <c r="B41" s="477" t="s">
        <v>466</v>
      </c>
      <c r="C41" s="477"/>
      <c r="D41" s="477"/>
      <c r="E41" s="477"/>
      <c r="F41" s="474"/>
      <c r="G41" s="474"/>
      <c r="H41" s="474"/>
      <c r="I41" s="487">
        <f>I13-I40</f>
        <v>-1.88</v>
      </c>
      <c r="J41" s="487">
        <f>J13-J40</f>
        <v>11.479999999999983</v>
      </c>
      <c r="K41" s="487">
        <f>K13-K40</f>
        <v>113.91417356685884</v>
      </c>
      <c r="L41" s="487">
        <f>L13-L40</f>
        <v>249.4270188483008</v>
      </c>
      <c r="M41" s="487">
        <f>M13-M40</f>
        <v>468.92167260403153</v>
      </c>
    </row>
    <row r="42" spans="1:21" ht="20.149999999999999" customHeight="1">
      <c r="A42" s="476">
        <v>9</v>
      </c>
      <c r="B42" s="477" t="s">
        <v>467</v>
      </c>
      <c r="C42" s="477"/>
      <c r="D42" s="477"/>
      <c r="E42" s="477"/>
      <c r="F42" s="474"/>
      <c r="G42" s="474"/>
      <c r="H42" s="474"/>
      <c r="I42" s="482">
        <f>+'Project PL  Combined'!B20+'Project PL  Combined'!B21+'Project PL  Combined'!B22</f>
        <v>0.01</v>
      </c>
      <c r="J42" s="482">
        <f>+'Project PL  Combined'!C20+'Project PL  Combined'!C21+'Project PL  Combined'!C22</f>
        <v>5.1199999999999992</v>
      </c>
      <c r="K42" s="482">
        <f>+'Project PL  Combined'!D20+'Project PL  Combined'!D21+'Project PL  Combined'!D22</f>
        <v>63.35</v>
      </c>
      <c r="L42" s="482">
        <f>+'Project PL  Combined'!E20+'Project PL  Combined'!E21+'Project PL  Combined'!E22</f>
        <v>60.9</v>
      </c>
      <c r="M42" s="482">
        <f>+'Project PL  Combined'!F20+'Project PL  Combined'!F21+'Project PL  Combined'!F22</f>
        <v>122.74107142857144</v>
      </c>
    </row>
    <row r="43" spans="1:21" ht="20.149999999999999" customHeight="1">
      <c r="A43" s="476">
        <v>10</v>
      </c>
      <c r="B43" s="477" t="s">
        <v>468</v>
      </c>
      <c r="C43" s="477"/>
      <c r="D43" s="477"/>
      <c r="E43" s="477"/>
      <c r="F43" s="474"/>
      <c r="G43" s="474"/>
      <c r="H43" s="474"/>
      <c r="I43" s="493">
        <f>I41-I42</f>
        <v>-1.89</v>
      </c>
      <c r="J43" s="493">
        <f>J41-J42-J51</f>
        <v>6.3599999999999834</v>
      </c>
      <c r="K43" s="493">
        <f>K41-K42-K51</f>
        <v>50.564173566858834</v>
      </c>
      <c r="L43" s="493">
        <f>L41-L42-L51</f>
        <v>188.5270188483008</v>
      </c>
      <c r="M43" s="493">
        <f>M41-M42-M51</f>
        <v>346.18060117546008</v>
      </c>
    </row>
    <row r="44" spans="1:21" ht="20.149999999999999" customHeight="1">
      <c r="A44" s="476">
        <v>11</v>
      </c>
      <c r="B44" s="477" t="s">
        <v>435</v>
      </c>
      <c r="C44" s="477" t="s">
        <v>469</v>
      </c>
      <c r="D44" s="477"/>
      <c r="E44" s="477"/>
      <c r="F44" s="474"/>
      <c r="G44" s="474"/>
      <c r="H44" s="474"/>
      <c r="I44" s="484"/>
      <c r="J44" s="484"/>
      <c r="K44" s="484"/>
      <c r="L44" s="485">
        <v>0</v>
      </c>
      <c r="M44" s="485">
        <v>0</v>
      </c>
    </row>
    <row r="45" spans="1:21" ht="20.149999999999999" customHeight="1">
      <c r="A45" s="476"/>
      <c r="B45" s="477"/>
      <c r="C45" s="477" t="s">
        <v>470</v>
      </c>
      <c r="D45" s="477"/>
      <c r="E45" s="477"/>
      <c r="F45" s="474" t="s">
        <v>31</v>
      </c>
      <c r="G45" s="474"/>
      <c r="H45" s="474"/>
      <c r="I45" s="482">
        <v>0</v>
      </c>
      <c r="J45" s="482">
        <v>0</v>
      </c>
      <c r="K45" s="482">
        <v>0</v>
      </c>
      <c r="L45" s="482">
        <v>0</v>
      </c>
      <c r="M45" s="482">
        <v>0</v>
      </c>
    </row>
    <row r="46" spans="1:21" ht="20.149999999999999" customHeight="1">
      <c r="A46" s="476"/>
      <c r="B46" s="477"/>
      <c r="C46" s="477" t="s">
        <v>471</v>
      </c>
      <c r="D46" s="477"/>
      <c r="E46" s="477"/>
      <c r="F46" s="474"/>
      <c r="G46" s="474"/>
      <c r="H46" s="474"/>
      <c r="I46" s="484"/>
      <c r="J46" s="484"/>
      <c r="K46" s="484"/>
      <c r="L46" s="485"/>
      <c r="M46" s="485"/>
    </row>
    <row r="47" spans="1:21" ht="20.149999999999999" customHeight="1">
      <c r="A47" s="476"/>
      <c r="B47" s="477"/>
      <c r="C47" s="477" t="s">
        <v>472</v>
      </c>
      <c r="D47" s="477"/>
      <c r="E47" s="477"/>
      <c r="F47" s="474"/>
      <c r="G47" s="474"/>
      <c r="H47" s="474"/>
      <c r="I47" s="484">
        <v>0</v>
      </c>
      <c r="J47" s="484">
        <v>0</v>
      </c>
      <c r="K47" s="484">
        <v>0</v>
      </c>
      <c r="L47" s="485">
        <v>0</v>
      </c>
      <c r="M47" s="485">
        <v>0</v>
      </c>
    </row>
    <row r="48" spans="1:21" ht="20.149999999999999" customHeight="1">
      <c r="A48" s="476"/>
      <c r="B48" s="477"/>
      <c r="C48" s="477" t="s">
        <v>473</v>
      </c>
      <c r="D48" s="477"/>
      <c r="E48" s="477"/>
      <c r="F48" s="474"/>
      <c r="G48" s="474"/>
      <c r="H48" s="474"/>
      <c r="I48" s="485">
        <f>SUM(I45:I47)</f>
        <v>0</v>
      </c>
      <c r="J48" s="485">
        <f>SUM(J45:J47)</f>
        <v>0</v>
      </c>
      <c r="K48" s="485">
        <f>SUM(K45:K47)</f>
        <v>0</v>
      </c>
      <c r="L48" s="485">
        <f>SUM(L45:L47)</f>
        <v>0</v>
      </c>
      <c r="M48" s="485">
        <f>SUM(M45:M47)</f>
        <v>0</v>
      </c>
    </row>
    <row r="49" spans="1:14" ht="20.149999999999999" customHeight="1">
      <c r="A49" s="476"/>
      <c r="B49" s="477" t="s">
        <v>440</v>
      </c>
      <c r="C49" s="477" t="s">
        <v>474</v>
      </c>
      <c r="D49" s="477"/>
      <c r="E49" s="477"/>
      <c r="F49" s="474"/>
      <c r="G49" s="474"/>
      <c r="H49" s="474"/>
      <c r="I49" s="485"/>
      <c r="J49" s="485"/>
      <c r="K49" s="485"/>
      <c r="L49" s="485">
        <v>0</v>
      </c>
      <c r="M49" s="485">
        <v>0</v>
      </c>
    </row>
    <row r="50" spans="1:14" ht="20.149999999999999" customHeight="1">
      <c r="A50" s="476"/>
      <c r="B50" s="477"/>
      <c r="C50" s="477" t="s">
        <v>475</v>
      </c>
      <c r="D50" s="477"/>
      <c r="E50" s="477"/>
      <c r="F50" s="474"/>
      <c r="G50" s="474"/>
      <c r="H50" s="474"/>
      <c r="I50" s="484"/>
      <c r="J50" s="484"/>
      <c r="K50" s="494"/>
      <c r="L50" s="485">
        <v>0</v>
      </c>
      <c r="M50" s="485">
        <v>0</v>
      </c>
    </row>
    <row r="51" spans="1:14" ht="20.149999999999999" customHeight="1">
      <c r="A51" s="476"/>
      <c r="B51" s="477"/>
      <c r="C51" s="477" t="s">
        <v>476</v>
      </c>
      <c r="D51" s="477"/>
      <c r="E51" s="477"/>
      <c r="F51" s="474"/>
      <c r="G51" s="474"/>
      <c r="H51" s="474"/>
      <c r="I51" s="494">
        <v>0</v>
      </c>
      <c r="J51" s="494">
        <v>0</v>
      </c>
      <c r="K51" s="494">
        <v>0</v>
      </c>
      <c r="L51" s="494">
        <v>0</v>
      </c>
      <c r="M51" s="494">
        <v>0</v>
      </c>
    </row>
    <row r="52" spans="1:14" ht="20.149999999999999" customHeight="1">
      <c r="A52" s="476"/>
      <c r="B52" s="477"/>
      <c r="C52" s="477" t="s">
        <v>477</v>
      </c>
      <c r="D52" s="477"/>
      <c r="E52" s="477"/>
      <c r="F52" s="474"/>
      <c r="G52" s="474"/>
      <c r="H52" s="474"/>
      <c r="I52" s="485">
        <f>SUM(I50:I51)</f>
        <v>0</v>
      </c>
      <c r="J52" s="485">
        <f>SUM(J50:J51)</f>
        <v>0</v>
      </c>
      <c r="K52" s="485">
        <f>SUM(K50:K51)</f>
        <v>0</v>
      </c>
      <c r="L52" s="485">
        <f>SUM(L50:L51)</f>
        <v>0</v>
      </c>
      <c r="M52" s="485">
        <f>SUM(M50:M51)</f>
        <v>0</v>
      </c>
    </row>
    <row r="53" spans="1:14" ht="20.149999999999999" customHeight="1">
      <c r="A53" s="476"/>
      <c r="B53" s="477" t="s">
        <v>442</v>
      </c>
      <c r="C53" s="477" t="s">
        <v>478</v>
      </c>
      <c r="D53" s="477"/>
      <c r="E53" s="477"/>
      <c r="F53" s="474"/>
      <c r="G53" s="474"/>
      <c r="H53" s="474"/>
      <c r="I53" s="485">
        <f>+I48-I52</f>
        <v>0</v>
      </c>
      <c r="J53" s="485">
        <f>+J48-J52</f>
        <v>0</v>
      </c>
      <c r="K53" s="485">
        <f>+K48-K52</f>
        <v>0</v>
      </c>
      <c r="L53" s="485">
        <f>+L48-L52</f>
        <v>0</v>
      </c>
      <c r="M53" s="485">
        <f>+M48-M52</f>
        <v>0</v>
      </c>
    </row>
    <row r="54" spans="1:14" ht="20.149999999999999" customHeight="1">
      <c r="A54" s="476">
        <v>12</v>
      </c>
      <c r="B54" s="488" t="s">
        <v>479</v>
      </c>
      <c r="C54" s="488"/>
      <c r="D54" s="488"/>
      <c r="E54" s="488"/>
      <c r="F54" s="489"/>
      <c r="G54" s="489"/>
      <c r="H54" s="489"/>
      <c r="I54" s="500">
        <f>I43+I53</f>
        <v>-1.89</v>
      </c>
      <c r="J54" s="500">
        <f>J43+J53</f>
        <v>6.3599999999999834</v>
      </c>
      <c r="K54" s="500">
        <f>K43+K53</f>
        <v>50.564173566858834</v>
      </c>
      <c r="L54" s="500">
        <f>L43+L53</f>
        <v>188.5270188483008</v>
      </c>
      <c r="M54" s="500">
        <f>M43+M53</f>
        <v>346.18060117546008</v>
      </c>
    </row>
    <row r="55" spans="1:14" ht="20.149999999999999" customHeight="1">
      <c r="A55" s="476">
        <v>13</v>
      </c>
      <c r="B55" s="477" t="s">
        <v>480</v>
      </c>
      <c r="C55" s="477"/>
      <c r="D55" s="477"/>
      <c r="E55" s="477"/>
      <c r="F55" s="474"/>
      <c r="G55" s="474"/>
      <c r="H55" s="474"/>
      <c r="I55" s="482">
        <f>+'Project PL  Combined'!B26</f>
        <v>0</v>
      </c>
      <c r="J55" s="482">
        <f>+'Project PL  Combined'!C26</f>
        <v>5.3900000000000006</v>
      </c>
      <c r="K55" s="482">
        <f>+'Project PL  Combined'!D26</f>
        <v>7.5846260350288244</v>
      </c>
      <c r="L55" s="482">
        <f>+'Project PL  Combined'!E26</f>
        <v>28.279052827245177</v>
      </c>
      <c r="M55" s="482">
        <f>+'Project PL  Combined'!F26</f>
        <v>51.927090176318984</v>
      </c>
    </row>
    <row r="56" spans="1:14" ht="20.149999999999999" customHeight="1">
      <c r="A56" s="476">
        <v>14</v>
      </c>
      <c r="B56" s="488" t="s">
        <v>481</v>
      </c>
      <c r="C56" s="488"/>
      <c r="D56" s="488"/>
      <c r="E56" s="488"/>
      <c r="F56" s="489"/>
      <c r="G56" s="489"/>
      <c r="H56" s="489"/>
      <c r="I56" s="491">
        <f>I54-I55</f>
        <v>-1.89</v>
      </c>
      <c r="J56" s="491">
        <f>J54-J55</f>
        <v>0.96999999999998288</v>
      </c>
      <c r="K56" s="491">
        <f>K54-K55</f>
        <v>42.979547531830008</v>
      </c>
      <c r="L56" s="491">
        <f>L54-L55</f>
        <v>160.24796602105562</v>
      </c>
      <c r="M56" s="491">
        <f>M54-M55</f>
        <v>294.2535109991411</v>
      </c>
      <c r="N56" s="501"/>
    </row>
    <row r="57" spans="1:14" ht="20.149999999999999" customHeight="1">
      <c r="A57" s="476">
        <v>15</v>
      </c>
      <c r="B57" s="502" t="s">
        <v>482</v>
      </c>
      <c r="C57" s="477" t="s">
        <v>483</v>
      </c>
      <c r="D57" s="477"/>
      <c r="E57" s="477"/>
      <c r="F57" s="474"/>
      <c r="G57" s="474"/>
      <c r="H57" s="474"/>
      <c r="I57" s="494">
        <f>+'Project BS Combined'!B36</f>
        <v>0</v>
      </c>
      <c r="J57" s="494">
        <f>+'Project BS Combined'!C36</f>
        <v>0</v>
      </c>
      <c r="K57" s="494">
        <f>+'Project BS Combined'!D36</f>
        <v>0</v>
      </c>
      <c r="L57" s="494">
        <f>+'Project BS Combined'!E36</f>
        <v>0</v>
      </c>
      <c r="M57" s="494">
        <f>+'Project BS Combined'!F36</f>
        <v>60</v>
      </c>
    </row>
    <row r="58" spans="1:14" ht="20.149999999999999" customHeight="1">
      <c r="A58" s="476"/>
      <c r="B58" s="477" t="s">
        <v>484</v>
      </c>
      <c r="C58" s="477" t="s">
        <v>485</v>
      </c>
      <c r="D58" s="477"/>
      <c r="E58" s="477"/>
      <c r="F58" s="474"/>
      <c r="G58" s="474"/>
      <c r="H58" s="474"/>
      <c r="I58" s="487">
        <f>I56-I57</f>
        <v>-1.89</v>
      </c>
      <c r="J58" s="487">
        <f>J56-J57</f>
        <v>0.96999999999998288</v>
      </c>
      <c r="K58" s="487">
        <f>K56-K57</f>
        <v>42.979547531830008</v>
      </c>
      <c r="L58" s="487">
        <f>L56-L57</f>
        <v>160.24796602105562</v>
      </c>
      <c r="M58" s="487">
        <f>M56-M57</f>
        <v>234.2535109991411</v>
      </c>
      <c r="N58" s="501"/>
    </row>
    <row r="59" spans="1:14" ht="20.149999999999999" customHeight="1">
      <c r="A59" s="476"/>
      <c r="B59" s="477" t="s">
        <v>486</v>
      </c>
      <c r="C59" s="477"/>
      <c r="D59" s="477"/>
      <c r="E59" s="477"/>
      <c r="F59" s="477"/>
      <c r="G59" s="477"/>
      <c r="H59" s="477"/>
      <c r="I59" s="503" t="e">
        <f>I54/I13</f>
        <v>#DIV/0!</v>
      </c>
      <c r="J59" s="504">
        <f>J54/J13</f>
        <v>0.11369324276009983</v>
      </c>
      <c r="K59" s="504">
        <f>K54/K13</f>
        <v>7.3565693234306784E-2</v>
      </c>
      <c r="L59" s="504">
        <f>L54/L13</f>
        <v>0.13169632166976356</v>
      </c>
      <c r="M59" s="504">
        <f>M54/M13</f>
        <v>0.1378167889749686</v>
      </c>
      <c r="N59" s="501"/>
    </row>
    <row r="60" spans="1:14" ht="20.149999999999999" customHeight="1">
      <c r="A60" s="669" t="s">
        <v>487</v>
      </c>
      <c r="B60" s="670"/>
      <c r="C60" s="670"/>
      <c r="D60" s="670"/>
      <c r="E60" s="670"/>
      <c r="F60" s="670"/>
      <c r="G60" s="670"/>
      <c r="H60" s="670"/>
      <c r="I60" s="670"/>
      <c r="J60" s="670"/>
      <c r="K60" s="670"/>
      <c r="L60" s="670"/>
      <c r="M60" s="670"/>
    </row>
    <row r="61" spans="1:14" ht="20.149999999999999" customHeight="1">
      <c r="A61" s="671" t="s">
        <v>488</v>
      </c>
      <c r="B61" s="672"/>
      <c r="C61" s="672"/>
      <c r="D61" s="672"/>
      <c r="E61" s="672"/>
      <c r="F61" s="672"/>
      <c r="G61" s="672"/>
      <c r="H61" s="672"/>
      <c r="I61" s="672"/>
      <c r="J61" s="672"/>
      <c r="K61" s="672"/>
      <c r="L61" s="672"/>
      <c r="M61" s="672"/>
    </row>
    <row r="62" spans="1:14" ht="20.149999999999999" customHeight="1">
      <c r="A62" s="505"/>
      <c r="B62" s="506"/>
      <c r="C62" s="506"/>
      <c r="D62" s="506"/>
      <c r="E62" s="506"/>
      <c r="F62" s="506"/>
      <c r="G62" s="506"/>
      <c r="H62" s="506"/>
      <c r="I62" s="507"/>
      <c r="J62" s="507"/>
      <c r="K62" s="507"/>
      <c r="L62" s="507"/>
      <c r="M62" s="507"/>
    </row>
    <row r="63" spans="1:14" ht="20.149999999999999" customHeight="1">
      <c r="A63" s="476"/>
      <c r="B63" s="488" t="str">
        <f>+B4</f>
        <v>M/s Eco Green Breeders Private Limited</v>
      </c>
      <c r="C63" s="477"/>
      <c r="D63" s="477"/>
      <c r="E63" s="477"/>
      <c r="F63" s="477"/>
      <c r="G63" s="477"/>
      <c r="H63" s="477"/>
      <c r="I63" s="657" t="s">
        <v>489</v>
      </c>
      <c r="J63" s="657"/>
      <c r="K63" s="657"/>
      <c r="L63" s="657"/>
      <c r="M63" s="657"/>
    </row>
    <row r="64" spans="1:14" ht="20.149999999999999" customHeight="1">
      <c r="A64" s="476"/>
      <c r="B64" s="508"/>
      <c r="C64" s="477"/>
      <c r="D64" s="477"/>
      <c r="E64" s="477"/>
      <c r="F64" s="474"/>
      <c r="G64" s="474"/>
      <c r="H64" s="474"/>
      <c r="I64" s="509" t="str">
        <f t="shared" ref="I64:M65" si="2">+I4</f>
        <v>March 31'22</v>
      </c>
      <c r="J64" s="509" t="str">
        <f t="shared" si="2"/>
        <v>March 31'23</v>
      </c>
      <c r="K64" s="509" t="str">
        <f t="shared" si="2"/>
        <v>March 31'24</v>
      </c>
      <c r="L64" s="509" t="str">
        <f>+L4</f>
        <v>March 31'25</v>
      </c>
      <c r="M64" s="509" t="str">
        <f t="shared" si="2"/>
        <v>March 31'26</v>
      </c>
    </row>
    <row r="65" spans="1:13" ht="20.149999999999999" customHeight="1">
      <c r="A65" s="476"/>
      <c r="B65" s="477"/>
      <c r="C65" s="665" t="s">
        <v>490</v>
      </c>
      <c r="D65" s="665"/>
      <c r="E65" s="665"/>
      <c r="F65" s="474"/>
      <c r="G65" s="474"/>
      <c r="H65" s="474"/>
      <c r="I65" s="484" t="str">
        <f t="shared" si="2"/>
        <v>Audited</v>
      </c>
      <c r="J65" s="484" t="str">
        <f t="shared" si="2"/>
        <v>Audited</v>
      </c>
      <c r="K65" s="484" t="str">
        <f t="shared" si="2"/>
        <v>Provisional</v>
      </c>
      <c r="L65" s="475" t="str">
        <f>+L5</f>
        <v>Projected</v>
      </c>
      <c r="M65" s="475" t="str">
        <f t="shared" si="2"/>
        <v>Projected</v>
      </c>
    </row>
    <row r="66" spans="1:13" ht="20.149999999999999" customHeight="1">
      <c r="A66" s="476"/>
      <c r="B66" s="477"/>
      <c r="C66" s="477"/>
      <c r="D66" s="477"/>
      <c r="E66" s="477"/>
      <c r="F66" s="474"/>
      <c r="G66" s="474"/>
      <c r="H66" s="474"/>
      <c r="I66" s="484"/>
      <c r="J66" s="484"/>
      <c r="K66" s="484"/>
      <c r="L66" s="484"/>
      <c r="M66" s="484"/>
    </row>
    <row r="67" spans="1:13" ht="20.149999999999999" customHeight="1">
      <c r="A67" s="476"/>
      <c r="B67" s="477"/>
      <c r="C67" s="510" t="s">
        <v>491</v>
      </c>
      <c r="D67" s="477"/>
      <c r="E67" s="477"/>
      <c r="F67" s="474"/>
      <c r="G67" s="474"/>
      <c r="H67" s="474"/>
      <c r="I67" s="484"/>
      <c r="J67" s="484"/>
      <c r="K67" s="484"/>
      <c r="L67" s="485"/>
      <c r="M67" s="485"/>
    </row>
    <row r="68" spans="1:13" ht="20.149999999999999" customHeight="1">
      <c r="A68" s="476">
        <v>1</v>
      </c>
      <c r="B68" s="477" t="s">
        <v>492</v>
      </c>
      <c r="C68" s="477"/>
      <c r="D68" s="477"/>
      <c r="E68" s="477"/>
      <c r="F68" s="474"/>
      <c r="G68" s="474"/>
      <c r="H68" s="474"/>
      <c r="I68" s="484"/>
      <c r="J68" s="484"/>
      <c r="K68" s="484"/>
      <c r="L68" s="485"/>
      <c r="M68" s="485"/>
    </row>
    <row r="69" spans="1:13" ht="20.149999999999999" customHeight="1">
      <c r="A69" s="476"/>
      <c r="B69" s="477" t="s">
        <v>493</v>
      </c>
      <c r="C69" s="477"/>
      <c r="D69" s="477"/>
      <c r="E69" s="477"/>
      <c r="F69" s="474"/>
      <c r="G69" s="474"/>
      <c r="H69" s="474"/>
      <c r="I69" s="484"/>
      <c r="J69" s="484"/>
      <c r="K69" s="484"/>
      <c r="L69" s="485"/>
      <c r="M69" s="485"/>
    </row>
    <row r="70" spans="1:13" ht="20.149999999999999" customHeight="1">
      <c r="A70" s="476"/>
      <c r="B70" s="511" t="s">
        <v>482</v>
      </c>
      <c r="C70" s="477" t="s">
        <v>494</v>
      </c>
      <c r="D70" s="477"/>
      <c r="E70" s="477"/>
      <c r="F70" s="474"/>
      <c r="G70" s="474"/>
      <c r="H70" s="474"/>
      <c r="I70" s="482">
        <f>+'Project BS Combined'!B13</f>
        <v>0</v>
      </c>
      <c r="J70" s="482">
        <f>+'Project BS Combined'!C13</f>
        <v>42.31</v>
      </c>
      <c r="K70" s="482">
        <f>+'Project BS Combined'!D13</f>
        <v>130</v>
      </c>
      <c r="L70" s="482">
        <f>+'Project BS Combined'!E13</f>
        <v>230</v>
      </c>
      <c r="M70" s="482">
        <f>+'Project BS Combined'!F13</f>
        <v>230</v>
      </c>
    </row>
    <row r="71" spans="1:13" ht="20.149999999999999" customHeight="1">
      <c r="A71" s="476"/>
      <c r="B71" s="511" t="s">
        <v>484</v>
      </c>
      <c r="C71" s="477" t="s">
        <v>495</v>
      </c>
      <c r="D71" s="477"/>
      <c r="E71" s="477"/>
      <c r="F71" s="474"/>
      <c r="G71" s="474"/>
      <c r="H71" s="474"/>
      <c r="I71" s="482">
        <v>0</v>
      </c>
      <c r="J71" s="482">
        <v>0</v>
      </c>
      <c r="K71" s="482">
        <v>0</v>
      </c>
      <c r="L71" s="482">
        <v>0</v>
      </c>
      <c r="M71" s="482">
        <v>0</v>
      </c>
    </row>
    <row r="72" spans="1:13" ht="20.149999999999999" customHeight="1">
      <c r="A72" s="476"/>
      <c r="B72" s="511" t="s">
        <v>496</v>
      </c>
      <c r="C72" s="477" t="s">
        <v>497</v>
      </c>
      <c r="D72" s="477"/>
      <c r="E72" s="477"/>
      <c r="F72" s="474"/>
      <c r="G72" s="474"/>
      <c r="H72" s="474"/>
      <c r="I72" s="484"/>
      <c r="J72" s="484"/>
      <c r="K72" s="484"/>
      <c r="L72" s="485"/>
      <c r="M72" s="485"/>
    </row>
    <row r="73" spans="1:13" ht="20.149999999999999" customHeight="1">
      <c r="A73" s="476"/>
      <c r="B73" s="488" t="s">
        <v>498</v>
      </c>
      <c r="C73" s="477"/>
      <c r="D73" s="477"/>
      <c r="E73" s="477"/>
      <c r="F73" s="484" t="s">
        <v>499</v>
      </c>
      <c r="G73" s="512"/>
      <c r="H73" s="512"/>
      <c r="I73" s="500">
        <f>I70+I71+I72</f>
        <v>0</v>
      </c>
      <c r="J73" s="500">
        <f>J70+J71+J72</f>
        <v>42.31</v>
      </c>
      <c r="K73" s="500">
        <f>K70+K71+K72</f>
        <v>130</v>
      </c>
      <c r="L73" s="500">
        <f>L70+L71+L72</f>
        <v>230</v>
      </c>
      <c r="M73" s="500">
        <f>M70+M71+M72</f>
        <v>230</v>
      </c>
    </row>
    <row r="74" spans="1:13" ht="20.149999999999999" customHeight="1">
      <c r="A74" s="476">
        <v>2</v>
      </c>
      <c r="B74" s="477" t="s">
        <v>500</v>
      </c>
      <c r="C74" s="477"/>
      <c r="D74" s="477"/>
      <c r="E74" s="477"/>
      <c r="F74" s="474"/>
      <c r="G74" s="474"/>
      <c r="H74" s="474"/>
      <c r="I74" s="485">
        <f>+'[34]Project BS'!E19</f>
        <v>0</v>
      </c>
      <c r="J74" s="485">
        <v>0</v>
      </c>
      <c r="K74" s="485">
        <f>+'[34]Project BS'!G19</f>
        <v>0</v>
      </c>
      <c r="L74" s="485">
        <f>+'[34]Project BS'!H19</f>
        <v>0</v>
      </c>
      <c r="M74" s="485">
        <f>+'[34]Project BS'!I19</f>
        <v>0</v>
      </c>
    </row>
    <row r="75" spans="1:13" ht="20.149999999999999" customHeight="1">
      <c r="A75" s="476">
        <v>3</v>
      </c>
      <c r="B75" s="477" t="s">
        <v>70</v>
      </c>
      <c r="C75" s="477"/>
      <c r="D75" s="477"/>
      <c r="E75" s="477"/>
      <c r="F75" s="474"/>
      <c r="G75" s="474"/>
      <c r="H75" s="474"/>
      <c r="I75" s="482">
        <f>+'Project BS Combined'!B14</f>
        <v>0</v>
      </c>
      <c r="J75" s="482">
        <f>+'Project BS Combined'!C14</f>
        <v>29.42</v>
      </c>
      <c r="K75" s="482">
        <f>+'Project BS Combined'!D14</f>
        <v>32.275845384157236</v>
      </c>
      <c r="L75" s="482">
        <f>+'Project BS Combined'!E14</f>
        <v>66.282111673615262</v>
      </c>
      <c r="M75" s="482">
        <f>+'Project BS Combined'!F14</f>
        <v>103.53692805241215</v>
      </c>
    </row>
    <row r="76" spans="1:13" ht="20.149999999999999" customHeight="1">
      <c r="A76" s="476">
        <v>4</v>
      </c>
      <c r="B76" s="477" t="s">
        <v>501</v>
      </c>
      <c r="C76" s="477"/>
      <c r="D76" s="477"/>
      <c r="E76" s="477"/>
      <c r="F76" s="474"/>
      <c r="G76" s="474"/>
      <c r="H76" s="474"/>
      <c r="I76" s="494">
        <v>0</v>
      </c>
      <c r="J76" s="494">
        <v>0</v>
      </c>
      <c r="K76" s="494"/>
      <c r="L76" s="494"/>
      <c r="M76" s="494"/>
    </row>
    <row r="77" spans="1:13" ht="20.149999999999999" customHeight="1">
      <c r="A77" s="476">
        <v>5</v>
      </c>
      <c r="B77" s="477" t="s">
        <v>502</v>
      </c>
      <c r="C77" s="477"/>
      <c r="D77" s="477"/>
      <c r="E77" s="477"/>
      <c r="F77" s="474"/>
      <c r="G77" s="474"/>
      <c r="H77" s="474"/>
      <c r="I77" s="482">
        <v>0</v>
      </c>
      <c r="J77" s="482">
        <f>+'[35]Project BS'!C17</f>
        <v>0</v>
      </c>
      <c r="K77" s="482">
        <f>+'[35]Project BS'!D17</f>
        <v>0</v>
      </c>
      <c r="L77" s="482">
        <v>0</v>
      </c>
      <c r="M77" s="482">
        <v>0</v>
      </c>
    </row>
    <row r="78" spans="1:13" ht="20.149999999999999" customHeight="1">
      <c r="A78" s="476">
        <v>6</v>
      </c>
      <c r="B78" s="477" t="s">
        <v>503</v>
      </c>
      <c r="C78" s="477"/>
      <c r="D78" s="477"/>
      <c r="E78" s="477"/>
      <c r="F78" s="474"/>
      <c r="G78" s="474"/>
      <c r="H78" s="474"/>
      <c r="I78" s="494"/>
      <c r="J78" s="494"/>
      <c r="K78" s="484"/>
      <c r="L78" s="485"/>
      <c r="M78" s="485"/>
    </row>
    <row r="79" spans="1:13" ht="20.149999999999999" customHeight="1">
      <c r="A79" s="476">
        <v>7</v>
      </c>
      <c r="B79" s="477" t="s">
        <v>504</v>
      </c>
      <c r="C79" s="477"/>
      <c r="D79" s="477"/>
      <c r="E79" s="477"/>
      <c r="F79" s="474"/>
      <c r="G79" s="474"/>
      <c r="H79" s="474"/>
      <c r="I79" s="494"/>
      <c r="J79" s="494"/>
      <c r="K79" s="494"/>
      <c r="L79" s="485"/>
      <c r="M79" s="485"/>
    </row>
    <row r="80" spans="1:13" ht="20.149999999999999" customHeight="1">
      <c r="A80" s="476">
        <v>8</v>
      </c>
      <c r="B80" s="477" t="s">
        <v>505</v>
      </c>
      <c r="C80" s="477"/>
      <c r="D80" s="477"/>
      <c r="E80" s="477"/>
      <c r="F80" s="474"/>
      <c r="G80" s="474"/>
      <c r="H80" s="474"/>
      <c r="I80" s="482">
        <f>+'Project BS Combined'!B15</f>
        <v>0</v>
      </c>
      <c r="J80" s="482">
        <f>+'Project BS Combined'!C15</f>
        <v>18</v>
      </c>
      <c r="K80" s="482">
        <f>+'Project BS Combined'!D15</f>
        <v>72</v>
      </c>
      <c r="L80" s="482">
        <f>+'Project BS Combined'!E15</f>
        <v>175.07142857142858</v>
      </c>
      <c r="M80" s="482">
        <f>+'Project BS Combined'!F15</f>
        <v>196.28571428571433</v>
      </c>
    </row>
    <row r="81" spans="1:15" ht="20.149999999999999" customHeight="1">
      <c r="A81" s="476"/>
      <c r="B81" s="477" t="s">
        <v>506</v>
      </c>
      <c r="C81" s="477"/>
      <c r="D81" s="477"/>
      <c r="E81" s="477"/>
      <c r="F81" s="474"/>
      <c r="G81" s="474"/>
      <c r="H81" s="474"/>
      <c r="I81" s="485"/>
      <c r="J81" s="485"/>
      <c r="K81" s="485"/>
      <c r="L81" s="485"/>
      <c r="M81" s="485"/>
    </row>
    <row r="82" spans="1:15" ht="20.149999999999999" customHeight="1">
      <c r="A82" s="476">
        <v>9</v>
      </c>
      <c r="B82" s="477" t="s">
        <v>507</v>
      </c>
      <c r="C82" s="477"/>
      <c r="D82" s="477"/>
      <c r="E82" s="477"/>
      <c r="F82" s="474"/>
      <c r="G82" s="474"/>
      <c r="H82" s="474"/>
      <c r="I82" s="494"/>
      <c r="J82" s="494"/>
      <c r="K82" s="494"/>
      <c r="L82" s="494"/>
      <c r="M82" s="494"/>
    </row>
    <row r="83" spans="1:15" ht="20.149999999999999" customHeight="1">
      <c r="A83" s="476"/>
      <c r="B83" s="477" t="s">
        <v>508</v>
      </c>
      <c r="C83" s="477"/>
      <c r="D83" s="477"/>
      <c r="E83" s="477"/>
      <c r="F83" s="474"/>
      <c r="G83" s="474"/>
      <c r="H83" s="474"/>
      <c r="I83" s="494"/>
      <c r="J83" s="494"/>
      <c r="K83" s="484"/>
      <c r="L83" s="485"/>
      <c r="M83" s="485"/>
    </row>
    <row r="84" spans="1:15" ht="20.149999999999999" customHeight="1">
      <c r="A84" s="476"/>
      <c r="B84" s="511" t="s">
        <v>482</v>
      </c>
      <c r="C84" s="477" t="s">
        <v>509</v>
      </c>
      <c r="D84" s="477"/>
      <c r="E84" s="477"/>
      <c r="F84" s="474"/>
      <c r="G84" s="474"/>
      <c r="H84" s="474"/>
      <c r="I84" s="494">
        <f>+'Project BS Combined'!B16</f>
        <v>11.7</v>
      </c>
      <c r="J84" s="494">
        <f>+'Project BS Combined'!C16</f>
        <v>55.84</v>
      </c>
      <c r="K84" s="494">
        <f>+'Project BS Combined'!D16</f>
        <v>7.5846260350288244</v>
      </c>
      <c r="L84" s="494">
        <f>+'Project BS Combined'!E16</f>
        <v>8.2790528272451773</v>
      </c>
      <c r="M84" s="494">
        <f>+'Project BS Combined'!F16</f>
        <v>31.927090176319187</v>
      </c>
    </row>
    <row r="85" spans="1:15" ht="20.149999999999999" customHeight="1">
      <c r="A85" s="476"/>
      <c r="B85" s="511" t="s">
        <v>484</v>
      </c>
      <c r="C85" s="477" t="s">
        <v>510</v>
      </c>
      <c r="D85" s="477"/>
      <c r="E85" s="477"/>
      <c r="F85" s="474"/>
      <c r="G85" s="474"/>
      <c r="H85" s="474"/>
      <c r="I85" s="482">
        <v>0</v>
      </c>
      <c r="J85" s="482">
        <v>0</v>
      </c>
      <c r="K85" s="482">
        <v>0</v>
      </c>
      <c r="L85" s="482">
        <v>0</v>
      </c>
      <c r="M85" s="482">
        <v>0</v>
      </c>
    </row>
    <row r="86" spans="1:15" ht="20.149999999999999" customHeight="1">
      <c r="A86" s="476"/>
      <c r="B86" s="511" t="s">
        <v>484</v>
      </c>
      <c r="C86" s="477" t="s">
        <v>511</v>
      </c>
      <c r="D86" s="477"/>
      <c r="E86" s="477"/>
      <c r="F86" s="474"/>
      <c r="G86" s="474"/>
      <c r="H86" s="474"/>
      <c r="I86" s="513">
        <v>0</v>
      </c>
      <c r="J86" s="513">
        <v>0</v>
      </c>
      <c r="K86" s="513">
        <v>0</v>
      </c>
      <c r="L86" s="482">
        <v>0</v>
      </c>
      <c r="M86" s="482">
        <v>0</v>
      </c>
    </row>
    <row r="87" spans="1:15" ht="20.149999999999999" customHeight="1">
      <c r="A87" s="476"/>
      <c r="B87" s="477"/>
      <c r="C87" s="477"/>
      <c r="D87" s="477"/>
      <c r="E87" s="477"/>
      <c r="F87" s="474"/>
      <c r="G87" s="474"/>
      <c r="H87" s="474"/>
      <c r="I87" s="484"/>
      <c r="J87" s="484"/>
      <c r="K87" s="484"/>
      <c r="L87" s="485">
        <v>0</v>
      </c>
      <c r="M87" s="485">
        <v>0</v>
      </c>
    </row>
    <row r="88" spans="1:15" ht="20.149999999999999" customHeight="1">
      <c r="A88" s="476"/>
      <c r="B88" s="488" t="s">
        <v>512</v>
      </c>
      <c r="C88" s="477"/>
      <c r="D88" s="477"/>
      <c r="E88" s="477"/>
      <c r="F88" s="474" t="s">
        <v>513</v>
      </c>
      <c r="G88" s="474"/>
      <c r="H88" s="474"/>
      <c r="I88" s="493">
        <f>SUM(I74:I86)</f>
        <v>11.7</v>
      </c>
      <c r="J88" s="493">
        <f>SUM(J74:J86)</f>
        <v>103.26</v>
      </c>
      <c r="K88" s="493">
        <f>SUM(K74:K86)</f>
        <v>111.86047141918606</v>
      </c>
      <c r="L88" s="493">
        <f>SUM(L74:L86)</f>
        <v>249.63259307228904</v>
      </c>
      <c r="M88" s="493">
        <f>SUM(M74:M86)</f>
        <v>331.74973251444567</v>
      </c>
    </row>
    <row r="89" spans="1:15" ht="20.149999999999999" customHeight="1">
      <c r="A89" s="476">
        <v>10</v>
      </c>
      <c r="B89" s="488" t="s">
        <v>514</v>
      </c>
      <c r="C89" s="477"/>
      <c r="D89" s="477"/>
      <c r="E89" s="477"/>
      <c r="F89" s="474"/>
      <c r="G89" s="474"/>
      <c r="H89" s="474"/>
      <c r="I89" s="493">
        <f>I73+I88</f>
        <v>11.7</v>
      </c>
      <c r="J89" s="493">
        <f>J73+J88</f>
        <v>145.57</v>
      </c>
      <c r="K89" s="493">
        <f>K73+K88</f>
        <v>241.86047141918607</v>
      </c>
      <c r="L89" s="493">
        <f>L73+L88</f>
        <v>479.63259307228907</v>
      </c>
      <c r="M89" s="493">
        <f>M73+M88</f>
        <v>561.74973251444567</v>
      </c>
    </row>
    <row r="90" spans="1:15" ht="20.149999999999999" customHeight="1">
      <c r="A90" s="476"/>
      <c r="B90" s="477"/>
      <c r="C90" s="510" t="s">
        <v>515</v>
      </c>
      <c r="D90" s="477"/>
      <c r="E90" s="477"/>
      <c r="F90" s="474"/>
      <c r="G90" s="474"/>
      <c r="H90" s="474"/>
      <c r="I90" s="484"/>
      <c r="J90" s="484"/>
      <c r="K90" s="484"/>
      <c r="L90" s="485">
        <v>0</v>
      </c>
      <c r="M90" s="485">
        <v>0</v>
      </c>
    </row>
    <row r="91" spans="1:15" ht="20.149999999999999" customHeight="1">
      <c r="A91" s="476">
        <v>11</v>
      </c>
      <c r="B91" s="477" t="s">
        <v>516</v>
      </c>
      <c r="C91" s="477"/>
      <c r="D91" s="477"/>
      <c r="E91" s="477"/>
      <c r="F91" s="474"/>
      <c r="G91" s="474"/>
      <c r="H91" s="474"/>
      <c r="I91" s="484"/>
      <c r="J91" s="484"/>
      <c r="K91" s="484"/>
      <c r="L91" s="485">
        <v>0</v>
      </c>
      <c r="M91" s="485">
        <v>0</v>
      </c>
    </row>
    <row r="92" spans="1:15" ht="20.149999999999999" customHeight="1">
      <c r="A92" s="476">
        <v>12</v>
      </c>
      <c r="B92" s="477" t="s">
        <v>517</v>
      </c>
      <c r="C92" s="477"/>
      <c r="D92" s="477"/>
      <c r="E92" s="477"/>
      <c r="F92" s="474"/>
      <c r="G92" s="474"/>
      <c r="H92" s="474"/>
      <c r="I92" s="484"/>
      <c r="J92" s="484"/>
      <c r="K92" s="484"/>
      <c r="L92" s="485">
        <v>0</v>
      </c>
      <c r="M92" s="485">
        <v>0</v>
      </c>
      <c r="N92" s="501"/>
      <c r="O92" s="501"/>
    </row>
    <row r="93" spans="1:15" ht="20.149999999999999" customHeight="1">
      <c r="A93" s="476">
        <v>13</v>
      </c>
      <c r="B93" s="477" t="s">
        <v>518</v>
      </c>
      <c r="C93" s="477"/>
      <c r="D93" s="477"/>
      <c r="E93" s="477"/>
      <c r="F93" s="474"/>
      <c r="G93" s="474"/>
      <c r="H93" s="474"/>
      <c r="I93" s="482">
        <f>+'Project BS Combined'!B10</f>
        <v>0</v>
      </c>
      <c r="J93" s="482">
        <f>+'Project BS Combined'!C10</f>
        <v>443.14</v>
      </c>
      <c r="K93" s="482">
        <f>+'Project BS Combined'!D10</f>
        <v>580</v>
      </c>
      <c r="L93" s="482">
        <f>+'Project BS Combined'!E10</f>
        <v>879.92857142857144</v>
      </c>
      <c r="M93" s="482">
        <f>+'Project BS Combined'!F10</f>
        <v>683.64285714285711</v>
      </c>
    </row>
    <row r="94" spans="1:15" ht="20.149999999999999" customHeight="1">
      <c r="A94" s="476">
        <v>14</v>
      </c>
      <c r="B94" s="477" t="s">
        <v>519</v>
      </c>
      <c r="C94" s="477"/>
      <c r="D94" s="477"/>
      <c r="E94" s="477"/>
      <c r="F94" s="474"/>
      <c r="G94" s="474"/>
      <c r="H94" s="474"/>
      <c r="I94" s="484"/>
      <c r="J94" s="484"/>
      <c r="K94" s="484"/>
      <c r="L94" s="485"/>
      <c r="M94" s="485"/>
    </row>
    <row r="95" spans="1:15" ht="20.149999999999999" customHeight="1">
      <c r="A95" s="476">
        <v>15</v>
      </c>
      <c r="B95" s="477" t="s">
        <v>520</v>
      </c>
      <c r="C95" s="477"/>
      <c r="D95" s="477"/>
      <c r="E95" s="477"/>
      <c r="F95" s="474"/>
      <c r="G95" s="474"/>
      <c r="H95" s="474"/>
      <c r="I95" s="514">
        <f>+'Project BS Combined'!B8</f>
        <v>157.5</v>
      </c>
      <c r="J95" s="514">
        <f>+'Project BS Combined'!C8</f>
        <v>317</v>
      </c>
      <c r="K95" s="514">
        <f>+'Project BS Combined'!D8</f>
        <v>180</v>
      </c>
      <c r="L95" s="514">
        <f>+'Project BS Combined'!E8</f>
        <v>361.74935342133324</v>
      </c>
      <c r="M95" s="514">
        <f>+'Project BS Combined'!F8</f>
        <v>361.74935342133324</v>
      </c>
    </row>
    <row r="96" spans="1:15" ht="20.149999999999999" customHeight="1">
      <c r="A96" s="476">
        <v>16</v>
      </c>
      <c r="B96" s="477" t="s">
        <v>521</v>
      </c>
      <c r="C96" s="477"/>
      <c r="D96" s="477"/>
      <c r="E96" s="477"/>
      <c r="F96" s="474"/>
      <c r="G96" s="474"/>
      <c r="H96" s="474"/>
      <c r="I96" s="487">
        <f>+I97</f>
        <v>0</v>
      </c>
      <c r="J96" s="487">
        <f>+J97</f>
        <v>4.4000000000000004</v>
      </c>
      <c r="K96" s="487">
        <f>+K97</f>
        <v>4.4000000000000004</v>
      </c>
      <c r="L96" s="487">
        <f>+L97</f>
        <v>59.4</v>
      </c>
      <c r="M96" s="487">
        <f>+M97</f>
        <v>59.4</v>
      </c>
    </row>
    <row r="97" spans="1:14" ht="20.149999999999999" customHeight="1">
      <c r="A97" s="476"/>
      <c r="B97" s="477" t="s">
        <v>351</v>
      </c>
      <c r="C97" s="477"/>
      <c r="D97" s="477"/>
      <c r="E97" s="477"/>
      <c r="F97" s="474"/>
      <c r="G97" s="474"/>
      <c r="H97" s="474"/>
      <c r="I97" s="482">
        <f>+'Project BS Combined'!B9</f>
        <v>0</v>
      </c>
      <c r="J97" s="482">
        <f>+'Project BS Combined'!C9</f>
        <v>4.4000000000000004</v>
      </c>
      <c r="K97" s="482">
        <f>+'Project BS Combined'!D9</f>
        <v>4.4000000000000004</v>
      </c>
      <c r="L97" s="482">
        <f>+'Project BS Combined'!E9</f>
        <v>59.4</v>
      </c>
      <c r="M97" s="482">
        <f>+'Project BS Combined'!F9</f>
        <v>59.4</v>
      </c>
    </row>
    <row r="98" spans="1:14" ht="20.149999999999999" customHeight="1">
      <c r="A98" s="476">
        <v>17</v>
      </c>
      <c r="B98" s="515" t="s">
        <v>522</v>
      </c>
      <c r="C98" s="477"/>
      <c r="D98" s="477"/>
      <c r="E98" s="477"/>
      <c r="F98" s="474"/>
      <c r="G98" s="474"/>
      <c r="H98" s="474"/>
      <c r="I98" s="500">
        <f>SUM(I91:I96)</f>
        <v>157.5</v>
      </c>
      <c r="J98" s="500">
        <f>SUM(J91:J96)</f>
        <v>764.54</v>
      </c>
      <c r="K98" s="500">
        <f>SUM(K91:K96)</f>
        <v>764.4</v>
      </c>
      <c r="L98" s="500">
        <f>SUM(L91:L96)</f>
        <v>1301.0779248499048</v>
      </c>
      <c r="M98" s="500">
        <f>SUM(M91:M96)</f>
        <v>1104.7922105641906</v>
      </c>
    </row>
    <row r="99" spans="1:14" ht="20.149999999999999" customHeight="1">
      <c r="A99" s="476">
        <v>18</v>
      </c>
      <c r="B99" s="515" t="s">
        <v>523</v>
      </c>
      <c r="C99" s="477"/>
      <c r="D99" s="477"/>
      <c r="E99" s="477"/>
      <c r="F99" s="474"/>
      <c r="G99" s="474"/>
      <c r="H99" s="474"/>
      <c r="I99" s="500">
        <f>I89+I98</f>
        <v>169.2</v>
      </c>
      <c r="J99" s="500">
        <f>J89+J98</f>
        <v>910.1099999999999</v>
      </c>
      <c r="K99" s="500">
        <f>K89+K98</f>
        <v>1006.260471419186</v>
      </c>
      <c r="L99" s="500">
        <f>L89+L98</f>
        <v>1780.710517922194</v>
      </c>
      <c r="M99" s="500">
        <f>M89+M98</f>
        <v>1666.5419430786362</v>
      </c>
    </row>
    <row r="100" spans="1:14" ht="20.149999999999999" customHeight="1">
      <c r="A100" s="476"/>
      <c r="B100" s="515"/>
      <c r="C100" s="477"/>
      <c r="D100" s="477"/>
      <c r="E100" s="477"/>
      <c r="F100" s="474"/>
      <c r="G100" s="474"/>
      <c r="H100" s="474"/>
      <c r="I100" s="484"/>
      <c r="J100" s="484"/>
      <c r="K100" s="484"/>
      <c r="L100" s="484"/>
      <c r="M100" s="484"/>
    </row>
    <row r="101" spans="1:14" ht="20.149999999999999" customHeight="1">
      <c r="A101" s="476"/>
      <c r="B101" s="477"/>
      <c r="C101" s="510" t="s">
        <v>524</v>
      </c>
      <c r="D101" s="477"/>
      <c r="E101" s="477"/>
      <c r="F101" s="474"/>
      <c r="G101" s="474"/>
      <c r="H101" s="474"/>
      <c r="I101" s="484"/>
      <c r="J101" s="484"/>
      <c r="K101" s="484"/>
      <c r="L101" s="485">
        <v>0</v>
      </c>
      <c r="M101" s="485">
        <v>0</v>
      </c>
    </row>
    <row r="102" spans="1:14" ht="20.149999999999999" customHeight="1">
      <c r="A102" s="476">
        <v>19</v>
      </c>
      <c r="B102" s="668" t="s">
        <v>525</v>
      </c>
      <c r="C102" s="668"/>
      <c r="D102" s="668"/>
      <c r="E102" s="668"/>
      <c r="F102" s="474" t="s">
        <v>31</v>
      </c>
      <c r="G102" s="474"/>
      <c r="H102" s="474"/>
      <c r="I102" s="482">
        <f>+'Project BS Combined'!B6</f>
        <v>1</v>
      </c>
      <c r="J102" s="482">
        <f>+'Project BS Combined'!C6</f>
        <v>1</v>
      </c>
      <c r="K102" s="482">
        <f>+'Project BS Combined'!D6</f>
        <v>235</v>
      </c>
      <c r="L102" s="482">
        <f>+'Project BS Combined'!E6</f>
        <v>305</v>
      </c>
      <c r="M102" s="482">
        <f>+'Project BS Combined'!F6</f>
        <v>305</v>
      </c>
    </row>
    <row r="103" spans="1:14" ht="20.149999999999999" customHeight="1">
      <c r="A103" s="476">
        <v>20</v>
      </c>
      <c r="B103" s="477" t="s">
        <v>526</v>
      </c>
      <c r="C103" s="477"/>
      <c r="D103" s="477"/>
      <c r="E103" s="477"/>
      <c r="F103" s="474" t="s">
        <v>31</v>
      </c>
      <c r="G103" s="474"/>
      <c r="H103" s="474"/>
      <c r="I103" s="494">
        <f>+'Project BS Combined'!B7</f>
        <v>-1.89</v>
      </c>
      <c r="J103" s="494">
        <f>+'Project BS Combined'!C7</f>
        <v>-0.92000000000005078</v>
      </c>
      <c r="K103" s="494">
        <f>+'Project BS Combined'!D7</f>
        <v>42.059547531829956</v>
      </c>
      <c r="L103" s="494">
        <f>+'Project BS Combined'!E7</f>
        <v>202.30751355288595</v>
      </c>
      <c r="M103" s="494">
        <f>+'Project BS Combined'!F7</f>
        <v>436.56102455202694</v>
      </c>
    </row>
    <row r="104" spans="1:14" ht="20.149999999999999" customHeight="1">
      <c r="A104" s="476">
        <v>21</v>
      </c>
      <c r="B104" s="477" t="s">
        <v>527</v>
      </c>
      <c r="C104" s="477"/>
      <c r="D104" s="477"/>
      <c r="E104" s="477"/>
      <c r="F104" s="474"/>
      <c r="G104" s="474"/>
      <c r="H104" s="474"/>
      <c r="I104" s="494"/>
      <c r="J104" s="494"/>
      <c r="K104" s="494"/>
      <c r="L104" s="485"/>
      <c r="M104" s="485"/>
    </row>
    <row r="105" spans="1:14" ht="20.149999999999999" customHeight="1">
      <c r="A105" s="476">
        <v>22</v>
      </c>
      <c r="B105" s="477" t="s">
        <v>81</v>
      </c>
      <c r="C105" s="477"/>
      <c r="D105" s="477"/>
      <c r="E105" s="477"/>
      <c r="F105" s="474"/>
      <c r="G105" s="474"/>
      <c r="H105" s="474"/>
      <c r="I105" s="494"/>
      <c r="J105" s="494"/>
      <c r="K105" s="494"/>
      <c r="L105" s="485"/>
      <c r="M105" s="485"/>
    </row>
    <row r="106" spans="1:14" ht="20.149999999999999" customHeight="1">
      <c r="A106" s="476">
        <v>23</v>
      </c>
      <c r="B106" s="477" t="s">
        <v>528</v>
      </c>
      <c r="C106" s="477"/>
      <c r="D106" s="477"/>
      <c r="E106" s="477"/>
      <c r="F106" s="474"/>
      <c r="G106" s="474"/>
      <c r="H106" s="474"/>
      <c r="I106" s="482">
        <v>0</v>
      </c>
      <c r="J106" s="482">
        <v>0</v>
      </c>
      <c r="K106" s="482">
        <v>0</v>
      </c>
      <c r="L106" s="482">
        <v>0</v>
      </c>
      <c r="M106" s="482">
        <v>0</v>
      </c>
    </row>
    <row r="107" spans="1:14" ht="20.149999999999999" customHeight="1">
      <c r="A107" s="476">
        <v>23</v>
      </c>
      <c r="B107" s="477" t="s">
        <v>482</v>
      </c>
      <c r="C107" s="477" t="s">
        <v>529</v>
      </c>
      <c r="D107" s="477"/>
      <c r="E107" s="477"/>
      <c r="F107" s="474"/>
      <c r="G107" s="474"/>
      <c r="H107" s="474"/>
      <c r="I107" s="494"/>
      <c r="J107" s="484"/>
      <c r="K107" s="494"/>
      <c r="L107" s="485"/>
      <c r="M107" s="485"/>
    </row>
    <row r="108" spans="1:14" ht="20.149999999999999" customHeight="1">
      <c r="A108" s="476">
        <v>23</v>
      </c>
      <c r="B108" s="477" t="s">
        <v>484</v>
      </c>
      <c r="C108" s="477" t="s">
        <v>530</v>
      </c>
      <c r="D108" s="477"/>
      <c r="E108" s="477"/>
      <c r="F108" s="474"/>
      <c r="G108" s="474"/>
      <c r="H108" s="474"/>
      <c r="I108" s="494"/>
      <c r="J108" s="484"/>
      <c r="K108" s="494"/>
      <c r="L108" s="485"/>
      <c r="M108" s="485"/>
    </row>
    <row r="109" spans="1:14" ht="20.149999999999999" customHeight="1">
      <c r="A109" s="476">
        <v>24</v>
      </c>
      <c r="B109" s="515" t="s">
        <v>524</v>
      </c>
      <c r="C109" s="477"/>
      <c r="D109" s="477"/>
      <c r="E109" s="477"/>
      <c r="F109" s="474"/>
      <c r="G109" s="474"/>
      <c r="H109" s="474"/>
      <c r="I109" s="500">
        <f>SUM(I102:I108)</f>
        <v>-0.8899999999999999</v>
      </c>
      <c r="J109" s="500">
        <f>SUM(J102:J108)</f>
        <v>7.9999999999949223E-2</v>
      </c>
      <c r="K109" s="500">
        <f>SUM(K102:K108)</f>
        <v>277.05954753182993</v>
      </c>
      <c r="L109" s="500">
        <f>SUM(L102:L108)</f>
        <v>507.30751355288595</v>
      </c>
      <c r="M109" s="500">
        <f>SUM(M102:M108)</f>
        <v>741.56102455202699</v>
      </c>
    </row>
    <row r="110" spans="1:14" ht="20.149999999999999" customHeight="1">
      <c r="A110" s="476"/>
      <c r="B110" s="515"/>
      <c r="C110" s="477"/>
      <c r="D110" s="477"/>
      <c r="E110" s="477"/>
      <c r="F110" s="474"/>
      <c r="G110" s="474"/>
      <c r="H110" s="474"/>
      <c r="I110" s="484"/>
      <c r="J110" s="484"/>
      <c r="K110" s="484"/>
      <c r="L110" s="509"/>
      <c r="M110" s="509"/>
    </row>
    <row r="111" spans="1:14" ht="20.149999999999999" customHeight="1">
      <c r="A111" s="476">
        <v>25</v>
      </c>
      <c r="B111" s="488"/>
      <c r="C111" s="488" t="s">
        <v>531</v>
      </c>
      <c r="D111" s="477"/>
      <c r="E111" s="477"/>
      <c r="F111" s="474"/>
      <c r="G111" s="474"/>
      <c r="H111" s="474"/>
      <c r="I111" s="500">
        <f>+I109+I99</f>
        <v>168.31</v>
      </c>
      <c r="J111" s="500">
        <f>+J109+J99</f>
        <v>910.18999999999983</v>
      </c>
      <c r="K111" s="500">
        <f>+K109+K99</f>
        <v>1283.320018951016</v>
      </c>
      <c r="L111" s="500">
        <f>+L109+L99</f>
        <v>2288.0180314750801</v>
      </c>
      <c r="M111" s="500">
        <f>+M109+M99</f>
        <v>2408.1029676306634</v>
      </c>
      <c r="N111" s="466" t="s">
        <v>31</v>
      </c>
    </row>
    <row r="112" spans="1:14" ht="20.149999999999999" customHeight="1">
      <c r="A112" s="669" t="s">
        <v>532</v>
      </c>
      <c r="B112" s="670"/>
      <c r="C112" s="670"/>
      <c r="D112" s="670"/>
      <c r="E112" s="670"/>
      <c r="F112" s="670"/>
      <c r="G112" s="670"/>
      <c r="H112" s="670"/>
      <c r="I112" s="670"/>
      <c r="J112" s="670"/>
      <c r="K112" s="670"/>
      <c r="L112" s="670"/>
      <c r="M112" s="670"/>
    </row>
    <row r="113" spans="1:17" ht="20.149999999999999" customHeight="1">
      <c r="A113" s="671" t="s">
        <v>533</v>
      </c>
      <c r="B113" s="672"/>
      <c r="C113" s="672"/>
      <c r="D113" s="672"/>
      <c r="E113" s="672"/>
      <c r="F113" s="672"/>
      <c r="G113" s="672"/>
      <c r="H113" s="672"/>
      <c r="I113" s="672"/>
      <c r="J113" s="672"/>
      <c r="K113" s="672"/>
      <c r="L113" s="672"/>
      <c r="M113" s="672"/>
    </row>
    <row r="114" spans="1:17" ht="20.149999999999999" customHeight="1">
      <c r="A114" s="476"/>
      <c r="B114" s="508" t="str">
        <f>+B63</f>
        <v>M/s Eco Green Breeders Private Limited</v>
      </c>
      <c r="C114" s="516"/>
      <c r="D114" s="516"/>
      <c r="E114" s="516"/>
      <c r="F114" s="477"/>
      <c r="G114" s="477"/>
      <c r="H114" s="477"/>
      <c r="I114" s="657" t="s">
        <v>489</v>
      </c>
      <c r="J114" s="657"/>
      <c r="K114" s="657"/>
      <c r="L114" s="657"/>
      <c r="M114" s="657"/>
    </row>
    <row r="115" spans="1:17" ht="20.149999999999999" customHeight="1">
      <c r="A115" s="476"/>
      <c r="B115" s="473"/>
      <c r="C115" s="473"/>
      <c r="D115" s="473"/>
      <c r="E115" s="473"/>
      <c r="F115" s="474"/>
      <c r="G115" s="517"/>
      <c r="H115" s="517"/>
      <c r="I115" s="518" t="str">
        <f>+I4</f>
        <v>March 31'22</v>
      </c>
      <c r="J115" s="518" t="str">
        <f>+J4</f>
        <v>March 31'23</v>
      </c>
      <c r="K115" s="518" t="str">
        <f>+K4</f>
        <v>March 31'24</v>
      </c>
      <c r="L115" s="518" t="str">
        <f>+L4</f>
        <v>March 31'25</v>
      </c>
      <c r="M115" s="518" t="str">
        <f>+M4</f>
        <v>March 31'26</v>
      </c>
    </row>
    <row r="116" spans="1:17" ht="20.149999999999999" customHeight="1">
      <c r="A116" s="476"/>
      <c r="B116" s="477"/>
      <c r="C116" s="665" t="s">
        <v>534</v>
      </c>
      <c r="D116" s="665"/>
      <c r="E116" s="665"/>
      <c r="F116" s="474"/>
      <c r="G116" s="474"/>
      <c r="H116" s="474"/>
      <c r="I116" s="484"/>
      <c r="J116" s="484"/>
      <c r="K116" s="484"/>
      <c r="L116" s="475"/>
      <c r="M116" s="475"/>
    </row>
    <row r="117" spans="1:17" ht="20.149999999999999" customHeight="1">
      <c r="A117" s="476"/>
      <c r="B117" s="477"/>
      <c r="C117" s="477"/>
      <c r="D117" s="477"/>
      <c r="E117" s="477"/>
      <c r="F117" s="474"/>
      <c r="G117" s="474"/>
      <c r="H117" s="474"/>
      <c r="I117" s="484" t="str">
        <f>+I65</f>
        <v>Audited</v>
      </c>
      <c r="J117" s="484" t="str">
        <f>+J65</f>
        <v>Audited</v>
      </c>
      <c r="K117" s="484" t="str">
        <f>+K65</f>
        <v>Provisional</v>
      </c>
      <c r="L117" s="496" t="str">
        <f>+L65</f>
        <v>Projected</v>
      </c>
      <c r="M117" s="496" t="str">
        <f>+M65</f>
        <v>Projected</v>
      </c>
    </row>
    <row r="118" spans="1:17" ht="20.149999999999999" customHeight="1">
      <c r="A118" s="476"/>
      <c r="B118" s="477"/>
      <c r="C118" s="510" t="s">
        <v>535</v>
      </c>
      <c r="D118" s="477"/>
      <c r="E118" s="477"/>
      <c r="F118" s="474"/>
      <c r="G118" s="474"/>
      <c r="H118" s="474"/>
      <c r="I118" s="484"/>
      <c r="J118" s="484"/>
      <c r="K118" s="484"/>
      <c r="L118" s="484"/>
      <c r="M118" s="484"/>
    </row>
    <row r="119" spans="1:17" ht="20.149999999999999" customHeight="1">
      <c r="A119" s="476"/>
      <c r="B119" s="477"/>
      <c r="C119" s="477"/>
      <c r="D119" s="477"/>
      <c r="E119" s="477"/>
      <c r="F119" s="474"/>
      <c r="G119" s="474"/>
      <c r="H119" s="474"/>
      <c r="I119" s="484"/>
      <c r="J119" s="484"/>
      <c r="K119" s="484"/>
      <c r="L119" s="484"/>
      <c r="M119" s="484"/>
    </row>
    <row r="120" spans="1:17" ht="20.149999999999999" customHeight="1">
      <c r="A120" s="476">
        <v>26</v>
      </c>
      <c r="B120" s="477" t="s">
        <v>536</v>
      </c>
      <c r="C120" s="477"/>
      <c r="D120" s="477"/>
      <c r="E120" s="477"/>
      <c r="F120" s="474"/>
      <c r="G120" s="474"/>
      <c r="H120" s="474"/>
      <c r="I120" s="482">
        <f>+'Project BS Combined'!B28</f>
        <v>2.85</v>
      </c>
      <c r="J120" s="482">
        <f>+'Project BS Combined'!C28</f>
        <v>115.1</v>
      </c>
      <c r="K120" s="482">
        <f>+'Project BS Combined'!D28</f>
        <v>10.467273623287838</v>
      </c>
      <c r="L120" s="482">
        <f>+'Project BS Combined'!E28</f>
        <v>32.721668852847074</v>
      </c>
      <c r="M120" s="482">
        <f>+'Project BS Combined'!F28</f>
        <v>124.65637221961606</v>
      </c>
    </row>
    <row r="121" spans="1:17" ht="20.149999999999999" customHeight="1">
      <c r="A121" s="476">
        <v>27</v>
      </c>
      <c r="B121" s="477" t="s">
        <v>537</v>
      </c>
      <c r="C121" s="477"/>
      <c r="D121" s="477"/>
      <c r="E121" s="477"/>
      <c r="F121" s="474"/>
      <c r="G121" s="474"/>
      <c r="H121" s="474"/>
      <c r="I121" s="519">
        <f>+I122+I123</f>
        <v>0</v>
      </c>
      <c r="J121" s="519">
        <f>+J122+J123</f>
        <v>0</v>
      </c>
      <c r="K121" s="519">
        <f>+K122+K123</f>
        <v>0</v>
      </c>
      <c r="L121" s="519">
        <f>+L122+L123</f>
        <v>0</v>
      </c>
      <c r="M121" s="519">
        <f>+M122+M123</f>
        <v>0</v>
      </c>
    </row>
    <row r="122" spans="1:17" ht="20.149999999999999" customHeight="1">
      <c r="A122" s="476"/>
      <c r="B122" s="477" t="s">
        <v>482</v>
      </c>
      <c r="C122" s="477" t="s">
        <v>538</v>
      </c>
      <c r="D122" s="477"/>
      <c r="E122" s="477"/>
      <c r="F122" s="474"/>
      <c r="G122" s="474"/>
      <c r="H122" s="474"/>
      <c r="I122" s="482">
        <v>0</v>
      </c>
      <c r="J122" s="482">
        <v>0</v>
      </c>
      <c r="K122" s="482">
        <v>0</v>
      </c>
      <c r="L122" s="482">
        <v>0</v>
      </c>
      <c r="M122" s="482">
        <v>0</v>
      </c>
    </row>
    <row r="123" spans="1:17" ht="20.149999999999999" customHeight="1">
      <c r="A123" s="476"/>
      <c r="B123" s="477" t="s">
        <v>484</v>
      </c>
      <c r="C123" s="477" t="s">
        <v>539</v>
      </c>
      <c r="D123" s="477"/>
      <c r="E123" s="477"/>
      <c r="F123" s="474"/>
      <c r="G123" s="474"/>
      <c r="H123" s="474"/>
      <c r="I123" s="482">
        <v>0</v>
      </c>
      <c r="J123" s="482">
        <v>0</v>
      </c>
      <c r="K123" s="482">
        <v>0</v>
      </c>
      <c r="L123" s="482">
        <v>0</v>
      </c>
      <c r="M123" s="482">
        <v>0</v>
      </c>
    </row>
    <row r="124" spans="1:17" ht="20.149999999999999" customHeight="1">
      <c r="A124" s="476">
        <v>28</v>
      </c>
      <c r="B124" s="477" t="s">
        <v>482</v>
      </c>
      <c r="C124" s="477" t="s">
        <v>540</v>
      </c>
      <c r="D124" s="477"/>
      <c r="E124" s="477"/>
      <c r="F124" s="474"/>
      <c r="G124" s="474"/>
      <c r="H124" s="474"/>
      <c r="I124" s="513">
        <f>+'Project BS Combined'!B26</f>
        <v>0</v>
      </c>
      <c r="J124" s="513">
        <f>+'Project BS Combined'!C26</f>
        <v>14.95</v>
      </c>
      <c r="K124" s="513">
        <f>+'Project BS Combined'!D26</f>
        <v>34.36668054347826</v>
      </c>
      <c r="L124" s="513">
        <f>+'Project BS Combined'!E26</f>
        <v>80.355587934782591</v>
      </c>
      <c r="M124" s="513">
        <f>+'Project BS Combined'!F26</f>
        <v>188.39174298913039</v>
      </c>
    </row>
    <row r="125" spans="1:17" ht="20.149999999999999" customHeight="1">
      <c r="A125" s="476"/>
      <c r="B125" s="477"/>
      <c r="C125" s="477" t="s">
        <v>541</v>
      </c>
      <c r="D125" s="477"/>
      <c r="E125" s="477"/>
      <c r="F125" s="474"/>
      <c r="G125" s="474"/>
      <c r="H125" s="474"/>
      <c r="I125" s="520"/>
      <c r="J125" s="520"/>
      <c r="K125" s="520"/>
      <c r="L125" s="520"/>
      <c r="M125" s="520"/>
    </row>
    <row r="126" spans="1:17" ht="20.149999999999999" customHeight="1">
      <c r="A126" s="476"/>
      <c r="B126" s="477" t="s">
        <v>484</v>
      </c>
      <c r="C126" s="477" t="s">
        <v>542</v>
      </c>
      <c r="D126" s="477"/>
      <c r="E126" s="477"/>
      <c r="F126" s="474"/>
      <c r="G126" s="474"/>
      <c r="H126" s="474"/>
      <c r="I126" s="484"/>
      <c r="J126" s="484"/>
      <c r="K126" s="484"/>
      <c r="L126" s="485"/>
      <c r="M126" s="485"/>
      <c r="N126" s="501"/>
      <c r="O126" s="501"/>
      <c r="P126" s="501"/>
      <c r="Q126" s="501"/>
    </row>
    <row r="127" spans="1:17" ht="20.149999999999999" customHeight="1">
      <c r="A127" s="476"/>
      <c r="B127" s="477" t="s">
        <v>543</v>
      </c>
      <c r="C127" s="477" t="s">
        <v>544</v>
      </c>
      <c r="D127" s="477"/>
      <c r="E127" s="477"/>
      <c r="F127" s="474"/>
      <c r="G127" s="474"/>
      <c r="H127" s="474"/>
      <c r="I127" s="484"/>
      <c r="J127" s="484"/>
      <c r="K127" s="484"/>
      <c r="L127" s="485"/>
      <c r="M127" s="485"/>
    </row>
    <row r="128" spans="1:17" ht="20.149999999999999" customHeight="1">
      <c r="A128" s="476">
        <v>29</v>
      </c>
      <c r="B128" s="477" t="s">
        <v>545</v>
      </c>
      <c r="C128" s="477"/>
      <c r="D128" s="477"/>
      <c r="E128" s="477"/>
      <c r="F128" s="474"/>
      <c r="G128" s="474"/>
      <c r="H128" s="474"/>
      <c r="I128" s="484"/>
      <c r="J128" s="484"/>
      <c r="K128" s="484"/>
      <c r="L128" s="485"/>
      <c r="M128" s="485"/>
    </row>
    <row r="129" spans="1:13" ht="20.149999999999999" customHeight="1">
      <c r="A129" s="476">
        <v>30</v>
      </c>
      <c r="B129" s="477" t="s">
        <v>546</v>
      </c>
      <c r="C129" s="477"/>
      <c r="D129" s="477"/>
      <c r="E129" s="477"/>
      <c r="F129" s="474"/>
      <c r="G129" s="474"/>
      <c r="H129" s="474"/>
      <c r="I129" s="487">
        <f>SUM(I130:I140)-I130</f>
        <v>0</v>
      </c>
      <c r="J129" s="487">
        <f>SUM(J130:J140)-J130</f>
        <v>165.03</v>
      </c>
      <c r="K129" s="487">
        <f>SUM(K130:K140)-K130</f>
        <v>245.03</v>
      </c>
      <c r="L129" s="487">
        <f>SUM(L130:L140)-L130</f>
        <v>445.03</v>
      </c>
      <c r="M129" s="487">
        <f>SUM(M130:M140)-M130</f>
        <v>445.03</v>
      </c>
    </row>
    <row r="130" spans="1:13" ht="20.149999999999999" customHeight="1">
      <c r="A130" s="476"/>
      <c r="B130" s="477" t="s">
        <v>482</v>
      </c>
      <c r="C130" s="477" t="s">
        <v>547</v>
      </c>
      <c r="D130" s="477"/>
      <c r="E130" s="477"/>
      <c r="F130" s="474"/>
      <c r="G130" s="474"/>
      <c r="H130" s="474"/>
      <c r="I130" s="487">
        <f>I132+I133</f>
        <v>0</v>
      </c>
      <c r="J130" s="487">
        <f>J132+J133</f>
        <v>0</v>
      </c>
      <c r="K130" s="487">
        <f>K132+K133</f>
        <v>0</v>
      </c>
      <c r="L130" s="487">
        <f>L132+L133</f>
        <v>0</v>
      </c>
      <c r="M130" s="487">
        <f>M132+M133</f>
        <v>0</v>
      </c>
    </row>
    <row r="131" spans="1:13" ht="20.149999999999999" customHeight="1">
      <c r="A131" s="476"/>
      <c r="B131" s="477"/>
      <c r="C131" s="477" t="s">
        <v>548</v>
      </c>
      <c r="D131" s="477"/>
      <c r="E131" s="477"/>
      <c r="F131" s="474"/>
      <c r="G131" s="474"/>
      <c r="H131" s="474"/>
      <c r="I131" s="484"/>
      <c r="J131" s="484"/>
      <c r="K131" s="484"/>
      <c r="L131" s="485">
        <v>0</v>
      </c>
      <c r="M131" s="485">
        <v>0</v>
      </c>
    </row>
    <row r="132" spans="1:13" ht="20.149999999999999" customHeight="1">
      <c r="A132" s="476"/>
      <c r="B132" s="477"/>
      <c r="C132" s="477" t="s">
        <v>549</v>
      </c>
      <c r="D132" s="477"/>
      <c r="E132" s="477"/>
      <c r="F132" s="474"/>
      <c r="G132" s="474"/>
      <c r="H132" s="474"/>
      <c r="I132" s="484"/>
      <c r="J132" s="484"/>
      <c r="K132" s="484"/>
      <c r="L132" s="485">
        <v>0</v>
      </c>
      <c r="M132" s="485">
        <v>0</v>
      </c>
    </row>
    <row r="133" spans="1:13" ht="20.149999999999999" customHeight="1">
      <c r="A133" s="476"/>
      <c r="B133" s="477"/>
      <c r="C133" s="477" t="s">
        <v>550</v>
      </c>
      <c r="D133" s="477"/>
      <c r="E133" s="477"/>
      <c r="F133" s="474"/>
      <c r="G133" s="474"/>
      <c r="H133" s="474"/>
      <c r="I133" s="494">
        <v>0</v>
      </c>
      <c r="J133" s="494">
        <v>0</v>
      </c>
      <c r="K133" s="494">
        <v>0</v>
      </c>
      <c r="L133" s="494">
        <v>0</v>
      </c>
      <c r="M133" s="494">
        <v>0</v>
      </c>
    </row>
    <row r="134" spans="1:13" ht="20.149999999999999" customHeight="1">
      <c r="A134" s="476"/>
      <c r="B134" s="477" t="s">
        <v>484</v>
      </c>
      <c r="C134" s="477" t="s">
        <v>551</v>
      </c>
      <c r="D134" s="477"/>
      <c r="E134" s="477"/>
      <c r="F134" s="474"/>
      <c r="G134" s="474"/>
      <c r="H134" s="474"/>
      <c r="I134" s="494">
        <f>+'Project BS Combined'!B25</f>
        <v>0</v>
      </c>
      <c r="J134" s="494">
        <f>+'Project BS Combined'!C25</f>
        <v>165.03</v>
      </c>
      <c r="K134" s="494">
        <f>+'Project BS Combined'!D25</f>
        <v>245.03</v>
      </c>
      <c r="L134" s="494">
        <f>+'Project BS Combined'!E25</f>
        <v>445.03</v>
      </c>
      <c r="M134" s="494">
        <f>+'Project BS Combined'!F25</f>
        <v>445.03</v>
      </c>
    </row>
    <row r="135" spans="1:13" ht="20.149999999999999" customHeight="1">
      <c r="A135" s="476"/>
      <c r="B135" s="477" t="s">
        <v>543</v>
      </c>
      <c r="C135" s="477" t="s">
        <v>552</v>
      </c>
      <c r="D135" s="477"/>
      <c r="E135" s="477"/>
      <c r="F135" s="474"/>
      <c r="G135" s="474"/>
      <c r="H135" s="474"/>
      <c r="I135" s="482">
        <f>+I35</f>
        <v>0</v>
      </c>
      <c r="J135" s="482">
        <f>+J35</f>
        <v>0</v>
      </c>
      <c r="K135" s="482">
        <f>+K35</f>
        <v>0</v>
      </c>
      <c r="L135" s="482">
        <f>+L35</f>
        <v>0</v>
      </c>
      <c r="M135" s="482">
        <f>+M35</f>
        <v>0</v>
      </c>
    </row>
    <row r="136" spans="1:13" ht="20.149999999999999" customHeight="1">
      <c r="A136" s="476"/>
      <c r="B136" s="477" t="s">
        <v>553</v>
      </c>
      <c r="C136" s="477" t="s">
        <v>554</v>
      </c>
      <c r="D136" s="477"/>
      <c r="E136" s="477"/>
      <c r="F136" s="474"/>
      <c r="G136" s="474"/>
      <c r="H136" s="474"/>
      <c r="I136" s="494"/>
      <c r="J136" s="494"/>
      <c r="K136" s="494"/>
      <c r="L136" s="521"/>
      <c r="M136" s="521"/>
    </row>
    <row r="137" spans="1:13" ht="20.149999999999999" customHeight="1">
      <c r="A137" s="476"/>
      <c r="B137" s="477"/>
      <c r="C137" s="477" t="s">
        <v>549</v>
      </c>
      <c r="D137" s="477"/>
      <c r="E137" s="477"/>
      <c r="F137" s="474"/>
      <c r="G137" s="474"/>
      <c r="H137" s="474"/>
      <c r="I137" s="494"/>
      <c r="J137" s="494"/>
      <c r="K137" s="494"/>
      <c r="L137" s="521"/>
      <c r="M137" s="521"/>
    </row>
    <row r="138" spans="1:13" ht="20.149999999999999" customHeight="1">
      <c r="A138" s="476"/>
      <c r="B138" s="477"/>
      <c r="C138" s="477" t="s">
        <v>550</v>
      </c>
      <c r="D138" s="477"/>
      <c r="E138" s="477"/>
      <c r="F138" s="474"/>
      <c r="G138" s="474"/>
      <c r="H138" s="474"/>
      <c r="I138" s="494"/>
      <c r="J138" s="494"/>
      <c r="K138" s="494"/>
      <c r="L138" s="494"/>
      <c r="M138" s="494"/>
    </row>
    <row r="139" spans="1:13" ht="20.149999999999999" customHeight="1">
      <c r="A139" s="476"/>
      <c r="B139" s="477" t="s">
        <v>555</v>
      </c>
      <c r="C139" s="477" t="s">
        <v>556</v>
      </c>
      <c r="D139" s="477"/>
      <c r="E139" s="477"/>
      <c r="F139" s="474"/>
      <c r="G139" s="474"/>
      <c r="H139" s="474"/>
      <c r="I139" s="484"/>
      <c r="J139" s="484"/>
      <c r="K139" s="484"/>
      <c r="L139" s="485"/>
      <c r="M139" s="485"/>
    </row>
    <row r="140" spans="1:13" ht="20.149999999999999" customHeight="1">
      <c r="A140" s="476"/>
      <c r="B140" s="477" t="s">
        <v>557</v>
      </c>
      <c r="C140" s="477" t="s">
        <v>558</v>
      </c>
      <c r="D140" s="477"/>
      <c r="E140" s="477"/>
      <c r="F140" s="474"/>
      <c r="G140" s="474"/>
      <c r="H140" s="474"/>
      <c r="I140" s="494"/>
      <c r="J140" s="494"/>
      <c r="K140" s="494"/>
      <c r="L140" s="521"/>
      <c r="M140" s="521"/>
    </row>
    <row r="141" spans="1:13" ht="20.149999999999999" customHeight="1">
      <c r="A141" s="476">
        <v>31</v>
      </c>
      <c r="B141" s="668" t="s">
        <v>559</v>
      </c>
      <c r="C141" s="668"/>
      <c r="D141" s="668"/>
      <c r="E141" s="668"/>
      <c r="F141" s="673"/>
      <c r="G141" s="512"/>
      <c r="H141" s="512"/>
      <c r="I141" s="494"/>
      <c r="J141" s="494"/>
      <c r="K141" s="494"/>
      <c r="L141" s="494"/>
      <c r="M141" s="494"/>
    </row>
    <row r="142" spans="1:13" ht="20.149999999999999" customHeight="1">
      <c r="A142" s="476">
        <v>32</v>
      </c>
      <c r="B142" s="477" t="s">
        <v>560</v>
      </c>
      <c r="C142" s="477"/>
      <c r="D142" s="477"/>
      <c r="E142" s="477"/>
      <c r="F142" s="474"/>
      <c r="G142" s="474"/>
      <c r="H142" s="474"/>
      <c r="I142" s="494"/>
      <c r="J142" s="494"/>
      <c r="K142" s="494"/>
      <c r="L142" s="494"/>
      <c r="M142" s="494"/>
    </row>
    <row r="143" spans="1:13" ht="20.149999999999999" customHeight="1">
      <c r="A143" s="476">
        <v>33</v>
      </c>
      <c r="B143" s="477" t="s">
        <v>561</v>
      </c>
      <c r="C143" s="477"/>
      <c r="D143" s="477"/>
      <c r="E143" s="477"/>
      <c r="F143" s="474"/>
      <c r="G143" s="474"/>
      <c r="H143" s="474"/>
      <c r="I143" s="484"/>
      <c r="J143" s="484"/>
      <c r="K143" s="484"/>
      <c r="L143" s="487"/>
      <c r="M143" s="487"/>
    </row>
    <row r="144" spans="1:13" ht="20.149999999999999" customHeight="1">
      <c r="A144" s="476"/>
      <c r="B144" s="477" t="s">
        <v>482</v>
      </c>
      <c r="C144" s="477" t="s">
        <v>562</v>
      </c>
      <c r="D144" s="477"/>
      <c r="E144" s="477"/>
      <c r="F144" s="474"/>
      <c r="G144" s="474"/>
      <c r="H144" s="474"/>
      <c r="I144" s="484"/>
      <c r="J144" s="509">
        <v>0</v>
      </c>
      <c r="K144" s="509">
        <v>0</v>
      </c>
      <c r="L144" s="509">
        <v>0</v>
      </c>
      <c r="M144" s="509">
        <v>0</v>
      </c>
    </row>
    <row r="145" spans="1:16" ht="20.149999999999999" customHeight="1">
      <c r="A145" s="476"/>
      <c r="B145" s="477" t="s">
        <v>484</v>
      </c>
      <c r="C145" s="477" t="s">
        <v>563</v>
      </c>
      <c r="D145" s="477"/>
      <c r="E145" s="477"/>
      <c r="F145" s="474"/>
      <c r="G145" s="474"/>
      <c r="H145" s="474"/>
      <c r="I145" s="509"/>
      <c r="J145" s="509"/>
      <c r="K145" s="509"/>
      <c r="L145" s="509"/>
      <c r="M145" s="509"/>
    </row>
    <row r="146" spans="1:16" ht="20.149999999999999" customHeight="1">
      <c r="A146" s="476"/>
      <c r="B146" s="477" t="s">
        <v>543</v>
      </c>
      <c r="C146" s="477" t="s">
        <v>564</v>
      </c>
      <c r="D146" s="477"/>
      <c r="E146" s="477"/>
      <c r="F146" s="474"/>
      <c r="G146" s="474"/>
      <c r="H146" s="474"/>
      <c r="I146" s="482">
        <f>+'Project BS Combined'!B27</f>
        <v>0.39</v>
      </c>
      <c r="J146" s="482">
        <f>+'Project BS Combined'!C27</f>
        <v>36.33</v>
      </c>
      <c r="K146" s="482">
        <f>+'Project BS Combined'!D27</f>
        <v>5</v>
      </c>
      <c r="L146" s="482">
        <f>+'Project BS Combined'!E27</f>
        <v>20</v>
      </c>
      <c r="M146" s="482">
        <f>+'Project BS Combined'!F27</f>
        <v>40</v>
      </c>
    </row>
    <row r="147" spans="1:16" ht="20.149999999999999" customHeight="1">
      <c r="A147" s="476">
        <v>34</v>
      </c>
      <c r="B147" s="515" t="s">
        <v>565</v>
      </c>
      <c r="C147" s="477"/>
      <c r="D147" s="477"/>
      <c r="E147" s="477"/>
      <c r="F147" s="474"/>
      <c r="G147" s="474"/>
      <c r="H147" s="474"/>
      <c r="I147" s="500">
        <f>+I145+I144+I142+I129+I120+I121+I124+I141+I146</f>
        <v>3.24</v>
      </c>
      <c r="J147" s="500">
        <f>+J145+J144+J142+J129+J120+J121+J124+J141+J146</f>
        <v>331.40999999999997</v>
      </c>
      <c r="K147" s="500">
        <f>+K145+K144+K142+K129+K120+K121+K124+K141+K146</f>
        <v>294.86395416676612</v>
      </c>
      <c r="L147" s="500">
        <f>+L145+L144+L142+L129+L120+L121+L124+L141+L146</f>
        <v>578.10725678762969</v>
      </c>
      <c r="M147" s="500">
        <f>+M145+M144+M142+M129+M120+M121+M124+M141+M146</f>
        <v>798.07811520874645</v>
      </c>
    </row>
    <row r="148" spans="1:16" ht="20.149999999999999" customHeight="1">
      <c r="A148" s="476"/>
      <c r="B148" s="477"/>
      <c r="C148" s="477"/>
      <c r="D148" s="477"/>
      <c r="E148" s="477"/>
      <c r="F148" s="474"/>
      <c r="G148" s="474"/>
      <c r="H148" s="474"/>
      <c r="I148" s="484"/>
      <c r="J148" s="484"/>
      <c r="K148" s="484"/>
      <c r="L148" s="484"/>
      <c r="M148" s="484"/>
    </row>
    <row r="149" spans="1:16" ht="20.149999999999999" customHeight="1">
      <c r="A149" s="476"/>
      <c r="B149" s="477"/>
      <c r="C149" s="510" t="s">
        <v>566</v>
      </c>
      <c r="D149" s="477"/>
      <c r="E149" s="477"/>
      <c r="F149" s="474"/>
      <c r="G149" s="474"/>
      <c r="H149" s="474"/>
      <c r="I149" s="484"/>
      <c r="J149" s="484"/>
      <c r="K149" s="484"/>
      <c r="L149" s="484"/>
      <c r="M149" s="484"/>
    </row>
    <row r="150" spans="1:16" ht="20.149999999999999" customHeight="1">
      <c r="A150" s="476">
        <v>35</v>
      </c>
      <c r="B150" s="477" t="s">
        <v>567</v>
      </c>
      <c r="C150" s="477"/>
      <c r="D150" s="477"/>
      <c r="E150" s="477"/>
      <c r="F150" s="474"/>
      <c r="G150" s="474"/>
      <c r="H150" s="474"/>
      <c r="I150" s="482">
        <f>+'Project BS Combined'!B20</f>
        <v>165.07</v>
      </c>
      <c r="J150" s="482">
        <f>+'Project BS Combined'!C20</f>
        <v>584.13</v>
      </c>
      <c r="K150" s="482">
        <f>+'Project BS Combined'!D20</f>
        <v>1024.1300000000001</v>
      </c>
      <c r="L150" s="482">
        <f>+'Project BS Combined'!E20</f>
        <v>1800.880125685333</v>
      </c>
      <c r="M150" s="482">
        <f>+'Project BS Combined'!F20</f>
        <v>1800.880125685333</v>
      </c>
      <c r="N150" s="501"/>
      <c r="O150" s="501"/>
      <c r="P150" s="501"/>
    </row>
    <row r="151" spans="1:16" ht="20.149999999999999" customHeight="1">
      <c r="A151" s="476">
        <v>36</v>
      </c>
      <c r="B151" s="477" t="s">
        <v>568</v>
      </c>
      <c r="C151" s="477"/>
      <c r="D151" s="477"/>
      <c r="E151" s="477"/>
      <c r="F151" s="474"/>
      <c r="G151" s="474"/>
      <c r="H151" s="474"/>
      <c r="I151" s="482">
        <f>-'Project BS Combined'!B21</f>
        <v>0</v>
      </c>
      <c r="J151" s="482">
        <f>-'Project BS Combined'!C21</f>
        <v>5.35</v>
      </c>
      <c r="K151" s="482">
        <f>-'Project BS Combined'!D21</f>
        <v>35.673935215749999</v>
      </c>
      <c r="L151" s="482">
        <f>-'Project BS Combined'!E21</f>
        <v>90.969350997883339</v>
      </c>
      <c r="M151" s="482">
        <f>-'Project BS Combined'!F21</f>
        <v>190.85527326341668</v>
      </c>
    </row>
    <row r="152" spans="1:16" ht="20.149999999999999" customHeight="1">
      <c r="A152" s="476">
        <v>37</v>
      </c>
      <c r="B152" s="515" t="s">
        <v>569</v>
      </c>
      <c r="C152" s="477"/>
      <c r="D152" s="477"/>
      <c r="E152" s="477"/>
      <c r="F152" s="474"/>
      <c r="G152" s="474"/>
      <c r="H152" s="474"/>
      <c r="I152" s="522">
        <f>+I150-I151</f>
        <v>165.07</v>
      </c>
      <c r="J152" s="522">
        <f>+J150-J151</f>
        <v>578.78</v>
      </c>
      <c r="K152" s="522">
        <f>+K150-K151</f>
        <v>988.45606478425009</v>
      </c>
      <c r="L152" s="522">
        <f>+L150-L151</f>
        <v>1709.9107746874497</v>
      </c>
      <c r="M152" s="522">
        <f>+M150-M151</f>
        <v>1610.0248524219164</v>
      </c>
    </row>
    <row r="153" spans="1:16" ht="20.149999999999999" customHeight="1">
      <c r="A153" s="476"/>
      <c r="B153" s="477"/>
      <c r="C153" s="488"/>
      <c r="D153" s="477"/>
      <c r="E153" s="477"/>
      <c r="F153" s="474"/>
      <c r="G153" s="474"/>
      <c r="H153" s="474"/>
      <c r="I153" s="484"/>
      <c r="J153" s="484"/>
      <c r="K153" s="484"/>
      <c r="L153" s="484"/>
      <c r="M153" s="484"/>
    </row>
    <row r="154" spans="1:16" ht="20.149999999999999" customHeight="1">
      <c r="A154" s="476"/>
      <c r="B154" s="477"/>
      <c r="C154" s="510" t="s">
        <v>570</v>
      </c>
      <c r="D154" s="477"/>
      <c r="E154" s="477"/>
      <c r="F154" s="474"/>
      <c r="G154" s="474"/>
      <c r="H154" s="474"/>
      <c r="I154" s="484"/>
      <c r="J154" s="484"/>
      <c r="K154" s="484"/>
      <c r="L154" s="484"/>
      <c r="M154" s="484"/>
    </row>
    <row r="155" spans="1:16" ht="20.149999999999999" customHeight="1">
      <c r="A155" s="476">
        <v>38</v>
      </c>
      <c r="B155" s="477" t="s">
        <v>571</v>
      </c>
      <c r="C155" s="477"/>
      <c r="D155" s="477"/>
      <c r="E155" s="477"/>
      <c r="F155" s="474"/>
      <c r="G155" s="474"/>
      <c r="H155" s="474"/>
      <c r="I155" s="487"/>
      <c r="J155" s="487"/>
      <c r="K155" s="487"/>
      <c r="L155" s="487"/>
      <c r="M155" s="487"/>
    </row>
    <row r="156" spans="1:16" ht="20.149999999999999" customHeight="1">
      <c r="A156" s="476"/>
      <c r="B156" s="477" t="s">
        <v>78</v>
      </c>
      <c r="C156" s="477"/>
      <c r="D156" s="477"/>
      <c r="E156" s="477"/>
      <c r="F156" s="474"/>
      <c r="G156" s="474"/>
      <c r="H156" s="474"/>
      <c r="I156" s="484"/>
      <c r="J156" s="484"/>
      <c r="K156" s="484"/>
      <c r="L156" s="485"/>
      <c r="M156" s="485"/>
    </row>
    <row r="157" spans="1:16" ht="20.149999999999999" customHeight="1">
      <c r="A157" s="476"/>
      <c r="B157" s="477" t="s">
        <v>482</v>
      </c>
      <c r="C157" s="477" t="s">
        <v>572</v>
      </c>
      <c r="D157" s="477"/>
      <c r="E157" s="477"/>
      <c r="F157" s="474"/>
      <c r="G157" s="474"/>
      <c r="H157" s="474"/>
      <c r="I157" s="494"/>
      <c r="J157" s="484"/>
      <c r="K157" s="484"/>
      <c r="L157" s="485"/>
      <c r="M157" s="485"/>
    </row>
    <row r="158" spans="1:16" ht="20.149999999999999" customHeight="1">
      <c r="A158" s="476"/>
      <c r="B158" s="477"/>
      <c r="C158" s="477" t="s">
        <v>573</v>
      </c>
      <c r="D158" s="477"/>
      <c r="E158" s="477"/>
      <c r="F158" s="474"/>
      <c r="G158" s="474"/>
      <c r="H158" s="474"/>
      <c r="I158" s="494"/>
      <c r="J158" s="494"/>
      <c r="K158" s="494"/>
      <c r="L158" s="485"/>
      <c r="M158" s="485"/>
    </row>
    <row r="159" spans="1:16" ht="20.149999999999999" customHeight="1">
      <c r="A159" s="476"/>
      <c r="B159" s="477" t="s">
        <v>484</v>
      </c>
      <c r="C159" s="477" t="s">
        <v>574</v>
      </c>
      <c r="D159" s="477"/>
      <c r="E159" s="477"/>
      <c r="F159" s="474"/>
      <c r="G159" s="474"/>
      <c r="H159" s="474"/>
      <c r="I159" s="494">
        <v>0</v>
      </c>
      <c r="J159" s="494">
        <v>0</v>
      </c>
      <c r="K159" s="494">
        <v>0</v>
      </c>
      <c r="L159" s="494">
        <v>0</v>
      </c>
      <c r="M159" s="494">
        <v>0</v>
      </c>
    </row>
    <row r="160" spans="1:16" ht="20.149999999999999" customHeight="1">
      <c r="A160" s="476"/>
      <c r="B160" s="477" t="s">
        <v>543</v>
      </c>
      <c r="C160" s="477" t="s">
        <v>575</v>
      </c>
      <c r="D160" s="477"/>
      <c r="E160" s="477"/>
      <c r="F160" s="474"/>
      <c r="G160" s="474"/>
      <c r="H160" s="474"/>
      <c r="I160" s="494"/>
      <c r="J160" s="484"/>
      <c r="K160" s="484"/>
      <c r="L160" s="485"/>
      <c r="M160" s="485"/>
    </row>
    <row r="161" spans="1:15" ht="20.149999999999999" customHeight="1">
      <c r="A161" s="476"/>
      <c r="B161" s="477" t="s">
        <v>553</v>
      </c>
      <c r="C161" s="477" t="s">
        <v>576</v>
      </c>
      <c r="D161" s="477" t="s">
        <v>577</v>
      </c>
      <c r="E161" s="477"/>
      <c r="F161" s="474"/>
      <c r="G161" s="474"/>
      <c r="H161" s="474"/>
      <c r="I161" s="494"/>
      <c r="J161" s="494"/>
      <c r="K161" s="494"/>
      <c r="L161" s="494"/>
      <c r="M161" s="494"/>
    </row>
    <row r="162" spans="1:15" ht="20.149999999999999" customHeight="1">
      <c r="A162" s="476"/>
      <c r="B162" s="477"/>
      <c r="C162" s="477"/>
      <c r="D162" s="477" t="s">
        <v>578</v>
      </c>
      <c r="E162" s="477"/>
      <c r="F162" s="474"/>
      <c r="G162" s="474"/>
      <c r="H162" s="474"/>
      <c r="I162" s="482">
        <v>0</v>
      </c>
      <c r="J162" s="482">
        <v>0</v>
      </c>
      <c r="K162" s="482">
        <v>0</v>
      </c>
      <c r="L162" s="482">
        <v>0</v>
      </c>
      <c r="M162" s="482">
        <v>0</v>
      </c>
    </row>
    <row r="163" spans="1:15" ht="20.149999999999999" customHeight="1">
      <c r="A163" s="476"/>
      <c r="B163" s="477"/>
      <c r="C163" s="477"/>
      <c r="D163" s="477" t="s">
        <v>579</v>
      </c>
      <c r="E163" s="477"/>
      <c r="F163" s="474"/>
      <c r="G163" s="474"/>
      <c r="H163" s="474"/>
      <c r="I163" s="484"/>
      <c r="J163" s="484"/>
      <c r="K163" s="484"/>
      <c r="L163" s="485"/>
      <c r="M163" s="485"/>
    </row>
    <row r="164" spans="1:15" ht="20.149999999999999" customHeight="1">
      <c r="A164" s="476">
        <v>39</v>
      </c>
      <c r="B164" s="477" t="s">
        <v>580</v>
      </c>
      <c r="C164" s="477"/>
      <c r="D164" s="477"/>
      <c r="E164" s="477"/>
      <c r="F164" s="474"/>
      <c r="G164" s="474"/>
      <c r="H164" s="474"/>
      <c r="I164" s="484">
        <v>0</v>
      </c>
      <c r="J164" s="484">
        <v>0</v>
      </c>
      <c r="K164" s="484">
        <v>0</v>
      </c>
      <c r="L164" s="484">
        <v>0</v>
      </c>
      <c r="M164" s="484">
        <v>0</v>
      </c>
    </row>
    <row r="165" spans="1:15" ht="20.149999999999999" customHeight="1">
      <c r="A165" s="476">
        <v>40</v>
      </c>
      <c r="B165" s="477" t="s">
        <v>581</v>
      </c>
      <c r="C165" s="477"/>
      <c r="D165" s="477"/>
      <c r="E165" s="477"/>
      <c r="F165" s="474"/>
      <c r="G165" s="474"/>
      <c r="H165" s="474"/>
      <c r="I165" s="496">
        <v>0</v>
      </c>
      <c r="J165" s="496">
        <v>0</v>
      </c>
      <c r="K165" s="496">
        <v>0</v>
      </c>
      <c r="L165" s="496">
        <v>0</v>
      </c>
      <c r="M165" s="496">
        <v>0</v>
      </c>
    </row>
    <row r="166" spans="1:15" ht="20.149999999999999" customHeight="1">
      <c r="A166" s="476">
        <v>41</v>
      </c>
      <c r="B166" s="477"/>
      <c r="C166" s="515" t="s">
        <v>582</v>
      </c>
      <c r="D166" s="477"/>
      <c r="E166" s="477"/>
      <c r="F166" s="474"/>
      <c r="G166" s="474"/>
      <c r="H166" s="474"/>
      <c r="I166" s="500">
        <f>I155+I164++I165</f>
        <v>0</v>
      </c>
      <c r="J166" s="500">
        <f>J155+J164++J165</f>
        <v>0</v>
      </c>
      <c r="K166" s="500">
        <f>K155+K164++K165</f>
        <v>0</v>
      </c>
      <c r="L166" s="500">
        <f>L155+L164++L165</f>
        <v>0</v>
      </c>
      <c r="M166" s="500">
        <f>M155+M164++M165</f>
        <v>0</v>
      </c>
    </row>
    <row r="167" spans="1:15" ht="20.149999999999999" customHeight="1">
      <c r="A167" s="476">
        <v>42</v>
      </c>
      <c r="B167" s="477" t="s">
        <v>583</v>
      </c>
      <c r="C167" s="477"/>
      <c r="D167" s="477"/>
      <c r="E167" s="477"/>
      <c r="F167" s="474"/>
      <c r="G167" s="474"/>
      <c r="H167" s="474"/>
      <c r="I167" s="484"/>
      <c r="J167" s="484"/>
      <c r="K167" s="484"/>
      <c r="L167" s="485"/>
      <c r="M167" s="485"/>
    </row>
    <row r="168" spans="1:15" ht="20.149999999999999" customHeight="1">
      <c r="A168" s="476"/>
      <c r="B168" s="477" t="s">
        <v>584</v>
      </c>
      <c r="C168" s="477"/>
      <c r="D168" s="477"/>
      <c r="E168" s="477"/>
      <c r="F168" s="474"/>
      <c r="G168" s="474"/>
      <c r="H168" s="474"/>
      <c r="I168" s="484"/>
      <c r="J168" s="484"/>
      <c r="K168" s="484"/>
      <c r="L168" s="485">
        <v>0</v>
      </c>
      <c r="M168" s="485">
        <v>0</v>
      </c>
    </row>
    <row r="169" spans="1:15" ht="20.149999999999999" customHeight="1">
      <c r="A169" s="476">
        <v>43</v>
      </c>
      <c r="B169" s="488"/>
      <c r="C169" s="665" t="s">
        <v>585</v>
      </c>
      <c r="D169" s="665"/>
      <c r="E169" s="665"/>
      <c r="F169" s="665"/>
      <c r="G169" s="506"/>
      <c r="H169" s="506"/>
      <c r="I169" s="500">
        <f>I147+I152+I166+I167</f>
        <v>168.31</v>
      </c>
      <c r="J169" s="500">
        <f t="shared" ref="J169:M169" si="3">J147+J152+J166+J167</f>
        <v>910.18999999999994</v>
      </c>
      <c r="K169" s="500">
        <f t="shared" si="3"/>
        <v>1283.3200189510162</v>
      </c>
      <c r="L169" s="500">
        <f t="shared" si="3"/>
        <v>2288.0180314750796</v>
      </c>
      <c r="M169" s="500">
        <f t="shared" si="3"/>
        <v>2408.102967630663</v>
      </c>
    </row>
    <row r="170" spans="1:15" ht="20.149999999999999" customHeight="1">
      <c r="A170" s="476"/>
      <c r="B170" s="477"/>
      <c r="C170" s="668" t="s">
        <v>586</v>
      </c>
      <c r="D170" s="668"/>
      <c r="E170" s="668"/>
      <c r="F170" s="673"/>
      <c r="G170" s="512"/>
      <c r="H170" s="512"/>
      <c r="I170" s="500">
        <f>I111</f>
        <v>168.31</v>
      </c>
      <c r="J170" s="500">
        <f>J111</f>
        <v>910.18999999999983</v>
      </c>
      <c r="K170" s="500">
        <f>K111</f>
        <v>1283.320018951016</v>
      </c>
      <c r="L170" s="500">
        <f>L111</f>
        <v>2288.0180314750801</v>
      </c>
      <c r="M170" s="500">
        <f>M111</f>
        <v>2408.1029676306634</v>
      </c>
    </row>
    <row r="171" spans="1:15" ht="20.149999999999999" customHeight="1">
      <c r="A171" s="476">
        <v>44</v>
      </c>
      <c r="B171" s="488" t="s">
        <v>587</v>
      </c>
      <c r="C171" s="477"/>
      <c r="D171" s="477"/>
      <c r="E171" s="477"/>
      <c r="F171" s="523"/>
      <c r="G171" s="523"/>
      <c r="H171" s="523"/>
      <c r="I171" s="500">
        <f>I109-I167+I95</f>
        <v>156.61000000000001</v>
      </c>
      <c r="J171" s="500">
        <f t="shared" ref="J171:M171" si="4">J109-J167+J95</f>
        <v>317.07999999999993</v>
      </c>
      <c r="K171" s="500">
        <f t="shared" si="4"/>
        <v>457.05954753182993</v>
      </c>
      <c r="L171" s="500">
        <f t="shared" si="4"/>
        <v>869.05686697421925</v>
      </c>
      <c r="M171" s="500">
        <f t="shared" si="4"/>
        <v>1103.3103779733601</v>
      </c>
    </row>
    <row r="172" spans="1:15" ht="20.149999999999999" customHeight="1">
      <c r="A172" s="476">
        <v>45</v>
      </c>
      <c r="B172" s="488" t="s">
        <v>588</v>
      </c>
      <c r="C172" s="477"/>
      <c r="D172" s="477"/>
      <c r="E172" s="477"/>
      <c r="F172" s="523"/>
      <c r="G172" s="523"/>
      <c r="H172" s="523"/>
      <c r="I172" s="500">
        <f>I98+I109-(I152+I166+I167)</f>
        <v>-8.4599999999999795</v>
      </c>
      <c r="J172" s="500">
        <f>J98+J109-(J152+J166+J167)</f>
        <v>185.83999999999992</v>
      </c>
      <c r="K172" s="500">
        <f>K98+K109-(K152+K166+K167)</f>
        <v>53.003482747579824</v>
      </c>
      <c r="L172" s="500">
        <f>L98+L109-(L152+L166+L167)</f>
        <v>98.474663715340967</v>
      </c>
      <c r="M172" s="500">
        <f>M98+M109-(M152+M166+M167)</f>
        <v>236.32838269430113</v>
      </c>
      <c r="O172" s="466">
        <f>75000-7500</f>
        <v>67500</v>
      </c>
    </row>
    <row r="173" spans="1:15" ht="20.149999999999999" customHeight="1">
      <c r="A173" s="476">
        <v>46</v>
      </c>
      <c r="B173" s="488" t="s">
        <v>589</v>
      </c>
      <c r="C173" s="477"/>
      <c r="D173" s="477"/>
      <c r="E173" s="477"/>
      <c r="F173" s="523"/>
      <c r="G173" s="523"/>
      <c r="H173" s="523"/>
      <c r="I173" s="500">
        <f>I147/I89</f>
        <v>0.27692307692307694</v>
      </c>
      <c r="J173" s="500">
        <f>J147/J89</f>
        <v>2.2766366696434703</v>
      </c>
      <c r="K173" s="500">
        <f>K147/K89</f>
        <v>1.2191490094952964</v>
      </c>
      <c r="L173" s="500">
        <f>L147/L89</f>
        <v>1.2053127021342747</v>
      </c>
      <c r="M173" s="500">
        <f>M147/M89</f>
        <v>1.4207004810424604</v>
      </c>
      <c r="O173" s="466">
        <f>75000*0.18</f>
        <v>13500</v>
      </c>
    </row>
    <row r="174" spans="1:15" ht="20.149999999999999" customHeight="1">
      <c r="A174" s="476">
        <v>47</v>
      </c>
      <c r="B174" s="488" t="s">
        <v>590</v>
      </c>
      <c r="C174" s="477"/>
      <c r="D174" s="477"/>
      <c r="E174" s="477"/>
      <c r="F174" s="474"/>
      <c r="G174" s="474"/>
      <c r="H174" s="474"/>
      <c r="I174" s="500">
        <f>I99/I171</f>
        <v>1.0803907796437007</v>
      </c>
      <c r="J174" s="500">
        <f>J99/J171</f>
        <v>2.8702851015516591</v>
      </c>
      <c r="K174" s="500">
        <f>K99/K171</f>
        <v>2.2015959995871421</v>
      </c>
      <c r="L174" s="500">
        <f>L99/L171</f>
        <v>2.0490149558590613</v>
      </c>
      <c r="M174" s="500">
        <f>M99/M171</f>
        <v>1.5104924020925647</v>
      </c>
      <c r="N174" s="501"/>
    </row>
    <row r="175" spans="1:15" ht="20.149999999999999" customHeight="1">
      <c r="A175" s="476">
        <v>48</v>
      </c>
      <c r="B175" s="488" t="s">
        <v>591</v>
      </c>
      <c r="C175" s="477"/>
      <c r="D175" s="477"/>
      <c r="E175" s="477"/>
      <c r="F175" s="474"/>
      <c r="G175" s="474"/>
      <c r="H175" s="474"/>
      <c r="I175" s="500">
        <f>I98/I171</f>
        <v>1.0056829065832322</v>
      </c>
      <c r="J175" s="500">
        <f>J98/J171</f>
        <v>2.4111896051469666</v>
      </c>
      <c r="K175" s="500">
        <f>K98/K171</f>
        <v>1.6724297832259301</v>
      </c>
      <c r="L175" s="500">
        <f>L98/L171</f>
        <v>1.4971148313686837</v>
      </c>
      <c r="M175" s="500">
        <f>M98/M171</f>
        <v>1.0013430786299249</v>
      </c>
    </row>
    <row r="176" spans="1:15" ht="20.149999999999999" customHeight="1">
      <c r="A176" s="476">
        <v>49</v>
      </c>
      <c r="B176" s="488" t="s">
        <v>592</v>
      </c>
      <c r="C176" s="477"/>
      <c r="D176" s="477"/>
      <c r="E176" s="477"/>
      <c r="F176" s="477"/>
      <c r="G176" s="477"/>
      <c r="H176" s="477"/>
      <c r="I176" s="524">
        <f>(I99-I96)/(I171+I96)</f>
        <v>1.0803907796437007</v>
      </c>
      <c r="J176" s="524">
        <f>(J99-J96)/(J171+J96)</f>
        <v>2.8173136742565639</v>
      </c>
      <c r="K176" s="524">
        <f>(K99-K96)/(K171+K96)</f>
        <v>2.1710688981900002</v>
      </c>
      <c r="L176" s="524">
        <f>(L99-L96)/(L171+L96)</f>
        <v>1.8539477483017961</v>
      </c>
      <c r="M176" s="524">
        <f>(M99-M96)/(M171+M96)</f>
        <v>1.3822375490274146</v>
      </c>
    </row>
    <row r="177" spans="1:15" ht="20.149999999999999" customHeight="1">
      <c r="A177" s="476"/>
      <c r="B177" s="477"/>
      <c r="C177" s="477"/>
      <c r="D177" s="477"/>
      <c r="E177" s="477"/>
      <c r="F177" s="477"/>
      <c r="G177" s="477"/>
      <c r="H177" s="477"/>
      <c r="I177" s="496">
        <f>+I170-I169</f>
        <v>0</v>
      </c>
      <c r="J177" s="496">
        <f>+J170-J169</f>
        <v>0</v>
      </c>
      <c r="K177" s="496">
        <f>+K170-K169</f>
        <v>0</v>
      </c>
      <c r="L177" s="496">
        <f>+L170-L169</f>
        <v>0</v>
      </c>
      <c r="M177" s="496">
        <f>+M170-M169</f>
        <v>0</v>
      </c>
      <c r="N177" s="525"/>
      <c r="O177" s="525"/>
    </row>
    <row r="178" spans="1:15" ht="20.149999999999999" customHeight="1">
      <c r="A178" s="660" t="s">
        <v>593</v>
      </c>
      <c r="B178" s="661"/>
      <c r="C178" s="661"/>
      <c r="D178" s="661"/>
      <c r="E178" s="661"/>
      <c r="F178" s="661"/>
      <c r="G178" s="661"/>
      <c r="H178" s="661"/>
      <c r="I178" s="661"/>
      <c r="J178" s="661"/>
      <c r="K178" s="661"/>
      <c r="L178" s="661"/>
      <c r="M178" s="661"/>
      <c r="N178" s="501"/>
      <c r="O178" s="501"/>
    </row>
    <row r="179" spans="1:15" ht="20.149999999999999" customHeight="1">
      <c r="A179" s="662" t="s">
        <v>594</v>
      </c>
      <c r="B179" s="663"/>
      <c r="C179" s="663"/>
      <c r="D179" s="663"/>
      <c r="E179" s="663"/>
      <c r="F179" s="663"/>
      <c r="G179" s="663"/>
      <c r="H179" s="663"/>
      <c r="I179" s="663"/>
      <c r="J179" s="663"/>
      <c r="K179" s="663"/>
      <c r="L179" s="663"/>
      <c r="M179" s="663"/>
    </row>
    <row r="180" spans="1:15" ht="20.149999999999999" customHeight="1">
      <c r="A180" s="526"/>
      <c r="B180" s="516"/>
      <c r="C180" s="516"/>
      <c r="D180" s="516"/>
      <c r="E180" s="516"/>
      <c r="F180" s="516"/>
      <c r="G180" s="516"/>
      <c r="H180" s="516"/>
      <c r="I180" s="527"/>
      <c r="J180" s="527"/>
      <c r="K180" s="527"/>
      <c r="L180" s="527"/>
      <c r="M180" s="527"/>
    </row>
    <row r="181" spans="1:15" ht="20.149999999999999" customHeight="1">
      <c r="A181" s="476"/>
      <c r="B181" s="488" t="str">
        <f>B114</f>
        <v>M/s Eco Green Breeders Private Limited</v>
      </c>
      <c r="C181" s="477"/>
      <c r="D181" s="477"/>
      <c r="E181" s="477"/>
      <c r="F181" s="477"/>
      <c r="G181" s="477"/>
      <c r="H181" s="477"/>
      <c r="I181" s="657" t="s">
        <v>489</v>
      </c>
      <c r="J181" s="657"/>
      <c r="K181" s="657"/>
      <c r="L181" s="657"/>
      <c r="M181" s="657"/>
    </row>
    <row r="182" spans="1:15" ht="20.149999999999999" customHeight="1">
      <c r="A182" s="476"/>
      <c r="B182" s="658"/>
      <c r="C182" s="658"/>
      <c r="D182" s="658"/>
      <c r="E182" s="658"/>
      <c r="F182" s="474"/>
      <c r="G182" s="517"/>
      <c r="H182" s="517"/>
      <c r="I182" s="518" t="str">
        <f>+I4</f>
        <v>March 31'22</v>
      </c>
      <c r="J182" s="518" t="str">
        <f>+J4</f>
        <v>March 31'23</v>
      </c>
      <c r="K182" s="518" t="str">
        <f>+K4</f>
        <v>March 31'24</v>
      </c>
      <c r="L182" s="518" t="str">
        <f>+L4</f>
        <v>March 31'25</v>
      </c>
      <c r="M182" s="518" t="str">
        <f>+M4</f>
        <v>March 31'26</v>
      </c>
    </row>
    <row r="183" spans="1:15" ht="20.149999999999999" customHeight="1">
      <c r="A183" s="476"/>
      <c r="B183" s="477"/>
      <c r="C183" s="510" t="s">
        <v>535</v>
      </c>
      <c r="D183" s="506"/>
      <c r="E183" s="506"/>
      <c r="F183" s="474"/>
      <c r="G183" s="474"/>
      <c r="H183" s="474"/>
      <c r="I183" s="484"/>
      <c r="J183" s="484"/>
      <c r="K183" s="484"/>
      <c r="L183" s="484"/>
      <c r="M183" s="484"/>
    </row>
    <row r="184" spans="1:15" ht="20.149999999999999" customHeight="1">
      <c r="A184" s="476"/>
      <c r="B184" s="477"/>
      <c r="C184" s="477"/>
      <c r="D184" s="477"/>
      <c r="E184" s="477"/>
      <c r="F184" s="474"/>
      <c r="G184" s="474"/>
      <c r="H184" s="474"/>
      <c r="I184" s="484" t="str">
        <f>+I117</f>
        <v>Audited</v>
      </c>
      <c r="J184" s="484" t="str">
        <f>+J117</f>
        <v>Audited</v>
      </c>
      <c r="K184" s="484" t="str">
        <f>+K117</f>
        <v>Provisional</v>
      </c>
      <c r="L184" s="475" t="str">
        <f>+L117</f>
        <v>Projected</v>
      </c>
      <c r="M184" s="475" t="str">
        <f>+M117</f>
        <v>Projected</v>
      </c>
    </row>
    <row r="185" spans="1:15" ht="20.149999999999999" customHeight="1">
      <c r="A185" s="476"/>
      <c r="B185" s="477"/>
      <c r="C185" s="477"/>
      <c r="D185" s="477"/>
      <c r="E185" s="477"/>
      <c r="F185" s="474"/>
      <c r="G185" s="474"/>
      <c r="H185" s="474"/>
      <c r="I185" s="485">
        <v>0</v>
      </c>
      <c r="J185" s="485">
        <v>0</v>
      </c>
      <c r="K185" s="485">
        <v>0</v>
      </c>
      <c r="L185" s="485">
        <v>0</v>
      </c>
      <c r="M185" s="485">
        <v>0</v>
      </c>
    </row>
    <row r="186" spans="1:15" ht="20.149999999999999" customHeight="1">
      <c r="A186" s="476">
        <v>1</v>
      </c>
      <c r="B186" s="477" t="s">
        <v>595</v>
      </c>
      <c r="C186" s="477"/>
      <c r="D186" s="477"/>
      <c r="E186" s="477"/>
      <c r="F186" s="474"/>
      <c r="G186" s="474"/>
      <c r="H186" s="474"/>
      <c r="I186" s="485">
        <v>0</v>
      </c>
      <c r="J186" s="485">
        <v>0</v>
      </c>
      <c r="K186" s="485">
        <v>0</v>
      </c>
      <c r="L186" s="485">
        <v>0</v>
      </c>
      <c r="M186" s="485">
        <v>0</v>
      </c>
    </row>
    <row r="187" spans="1:15" ht="20.149999999999999" customHeight="1">
      <c r="A187" s="476"/>
      <c r="B187" s="477" t="s">
        <v>596</v>
      </c>
      <c r="C187" s="477"/>
      <c r="D187" s="477"/>
      <c r="E187" s="477"/>
      <c r="F187" s="474"/>
      <c r="G187" s="474"/>
      <c r="H187" s="474"/>
      <c r="I187" s="485">
        <v>0</v>
      </c>
      <c r="J187" s="485">
        <v>0</v>
      </c>
      <c r="K187" s="485">
        <v>0</v>
      </c>
      <c r="L187" s="485">
        <v>0</v>
      </c>
      <c r="M187" s="485">
        <v>0</v>
      </c>
    </row>
    <row r="188" spans="1:15" ht="20.149999999999999" customHeight="1">
      <c r="A188" s="476"/>
      <c r="B188" s="477" t="s">
        <v>482</v>
      </c>
      <c r="C188" s="477" t="s">
        <v>597</v>
      </c>
      <c r="D188" s="477"/>
      <c r="E188" s="477" t="s">
        <v>598</v>
      </c>
      <c r="F188" s="474"/>
      <c r="G188" s="474"/>
      <c r="H188" s="474"/>
      <c r="I188" s="485">
        <v>0</v>
      </c>
      <c r="J188" s="485">
        <v>0</v>
      </c>
      <c r="K188" s="485">
        <v>0</v>
      </c>
      <c r="L188" s="485">
        <v>0</v>
      </c>
      <c r="M188" s="485">
        <v>0</v>
      </c>
    </row>
    <row r="189" spans="1:15" ht="20.149999999999999" customHeight="1">
      <c r="A189" s="476"/>
      <c r="B189" s="477"/>
      <c r="C189" s="477"/>
      <c r="D189" s="477"/>
      <c r="E189" s="477" t="s">
        <v>599</v>
      </c>
      <c r="F189" s="474"/>
      <c r="G189" s="474"/>
      <c r="H189" s="474"/>
      <c r="I189" s="485">
        <v>0</v>
      </c>
      <c r="J189" s="485">
        <v>0</v>
      </c>
      <c r="K189" s="485">
        <v>0</v>
      </c>
      <c r="L189" s="485">
        <v>0</v>
      </c>
      <c r="M189" s="485">
        <v>0</v>
      </c>
    </row>
    <row r="190" spans="1:15" ht="20.149999999999999" customHeight="1">
      <c r="A190" s="476"/>
      <c r="B190" s="477" t="s">
        <v>484</v>
      </c>
      <c r="C190" s="477" t="s">
        <v>600</v>
      </c>
      <c r="D190" s="477"/>
      <c r="E190" s="477" t="s">
        <v>598</v>
      </c>
      <c r="F190" s="474"/>
      <c r="G190" s="474"/>
      <c r="H190" s="474"/>
      <c r="I190" s="509">
        <f>I130</f>
        <v>0</v>
      </c>
      <c r="J190" s="509">
        <f>J130</f>
        <v>0</v>
      </c>
      <c r="K190" s="509">
        <f>K130</f>
        <v>0</v>
      </c>
      <c r="L190" s="509">
        <f>L130</f>
        <v>0</v>
      </c>
      <c r="M190" s="509">
        <f>M130</f>
        <v>0</v>
      </c>
    </row>
    <row r="191" spans="1:15" ht="20.149999999999999" customHeight="1">
      <c r="A191" s="476"/>
      <c r="B191" s="477"/>
      <c r="C191" s="477"/>
      <c r="D191" s="477"/>
      <c r="E191" s="477" t="s">
        <v>599</v>
      </c>
      <c r="F191" s="474"/>
      <c r="G191" s="474"/>
      <c r="H191" s="474"/>
      <c r="I191" s="509" t="e">
        <f>+I190/I20*12</f>
        <v>#DIV/0!</v>
      </c>
      <c r="J191" s="509">
        <f>+J190/J20*12</f>
        <v>0</v>
      </c>
      <c r="K191" s="509">
        <f>+K190/K20*12</f>
        <v>0</v>
      </c>
      <c r="L191" s="509">
        <f>+L190/L20*12</f>
        <v>0</v>
      </c>
      <c r="M191" s="509">
        <f>+M190/M20*12</f>
        <v>0</v>
      </c>
    </row>
    <row r="192" spans="1:15" ht="20.149999999999999" customHeight="1">
      <c r="A192" s="476">
        <v>2</v>
      </c>
      <c r="B192" s="477" t="s">
        <v>601</v>
      </c>
      <c r="C192" s="477"/>
      <c r="D192" s="477"/>
      <c r="E192" s="477"/>
      <c r="F192" s="474"/>
      <c r="G192" s="474"/>
      <c r="H192" s="474"/>
      <c r="I192" s="485">
        <v>0</v>
      </c>
      <c r="J192" s="485">
        <v>0</v>
      </c>
      <c r="K192" s="485">
        <v>0</v>
      </c>
      <c r="L192" s="485">
        <v>0</v>
      </c>
      <c r="M192" s="485">
        <v>0</v>
      </c>
    </row>
    <row r="193" spans="1:13" ht="20.149999999999999" customHeight="1">
      <c r="A193" s="476"/>
      <c r="B193" s="477" t="s">
        <v>482</v>
      </c>
      <c r="C193" s="477" t="s">
        <v>597</v>
      </c>
      <c r="D193" s="477"/>
      <c r="E193" s="477" t="s">
        <v>598</v>
      </c>
      <c r="F193" s="474"/>
      <c r="G193" s="474"/>
      <c r="H193" s="474"/>
      <c r="I193" s="485">
        <v>0</v>
      </c>
      <c r="J193" s="485">
        <v>0</v>
      </c>
      <c r="K193" s="485">
        <v>0</v>
      </c>
      <c r="L193" s="485">
        <v>0</v>
      </c>
      <c r="M193" s="485">
        <v>0</v>
      </c>
    </row>
    <row r="194" spans="1:13" ht="20.149999999999999" customHeight="1">
      <c r="A194" s="476"/>
      <c r="B194" s="477"/>
      <c r="C194" s="477"/>
      <c r="D194" s="477"/>
      <c r="E194" s="477" t="s">
        <v>599</v>
      </c>
      <c r="F194" s="474"/>
      <c r="G194" s="474"/>
      <c r="H194" s="474"/>
      <c r="I194" s="485">
        <v>0</v>
      </c>
      <c r="J194" s="485">
        <v>0</v>
      </c>
      <c r="K194" s="485">
        <v>0</v>
      </c>
      <c r="L194" s="485">
        <v>0</v>
      </c>
      <c r="M194" s="485">
        <v>0</v>
      </c>
    </row>
    <row r="195" spans="1:13" ht="20.149999999999999" customHeight="1">
      <c r="A195" s="476"/>
      <c r="B195" s="477" t="s">
        <v>484</v>
      </c>
      <c r="C195" s="477" t="s">
        <v>600</v>
      </c>
      <c r="D195" s="477"/>
      <c r="E195" s="477" t="s">
        <v>598</v>
      </c>
      <c r="F195" s="474"/>
      <c r="G195" s="474"/>
      <c r="H195" s="474"/>
      <c r="I195" s="485">
        <f t="shared" ref="I195:M196" si="5">+I138</f>
        <v>0</v>
      </c>
      <c r="J195" s="485">
        <f t="shared" si="5"/>
        <v>0</v>
      </c>
      <c r="K195" s="485">
        <f t="shared" si="5"/>
        <v>0</v>
      </c>
      <c r="L195" s="485">
        <f>+L138</f>
        <v>0</v>
      </c>
      <c r="M195" s="485">
        <f t="shared" si="5"/>
        <v>0</v>
      </c>
    </row>
    <row r="196" spans="1:13" ht="20.149999999999999" customHeight="1">
      <c r="A196" s="476"/>
      <c r="B196" s="477"/>
      <c r="C196" s="477"/>
      <c r="D196" s="477"/>
      <c r="E196" s="477" t="s">
        <v>599</v>
      </c>
      <c r="F196" s="474"/>
      <c r="G196" s="474"/>
      <c r="H196" s="474"/>
      <c r="I196" s="485">
        <f t="shared" si="5"/>
        <v>0</v>
      </c>
      <c r="J196" s="485">
        <f t="shared" si="5"/>
        <v>0</v>
      </c>
      <c r="K196" s="485">
        <f t="shared" si="5"/>
        <v>0</v>
      </c>
      <c r="L196" s="485">
        <f>+L139</f>
        <v>0</v>
      </c>
      <c r="M196" s="485">
        <f t="shared" si="5"/>
        <v>0</v>
      </c>
    </row>
    <row r="197" spans="1:13" ht="20.149999999999999" customHeight="1">
      <c r="A197" s="476">
        <v>3</v>
      </c>
      <c r="B197" s="477" t="s">
        <v>602</v>
      </c>
      <c r="C197" s="477"/>
      <c r="D197" s="477"/>
      <c r="E197" s="477" t="s">
        <v>598</v>
      </c>
      <c r="F197" s="474"/>
      <c r="G197" s="474"/>
      <c r="H197" s="474"/>
      <c r="I197" s="509">
        <f>I134</f>
        <v>0</v>
      </c>
      <c r="J197" s="509">
        <f>J134</f>
        <v>165.03</v>
      </c>
      <c r="K197" s="509">
        <f>K134</f>
        <v>245.03</v>
      </c>
      <c r="L197" s="509">
        <f>L134</f>
        <v>445.03</v>
      </c>
      <c r="M197" s="509">
        <f>M134</f>
        <v>445.03</v>
      </c>
    </row>
    <row r="198" spans="1:13" ht="20.149999999999999" customHeight="1">
      <c r="A198" s="476"/>
      <c r="B198" s="477"/>
      <c r="C198" s="477"/>
      <c r="D198" s="477"/>
      <c r="E198" s="477" t="s">
        <v>603</v>
      </c>
      <c r="F198" s="474"/>
      <c r="G198" s="474"/>
      <c r="H198" s="474"/>
      <c r="I198" s="509">
        <f>+I197/I32*6</f>
        <v>0</v>
      </c>
      <c r="J198" s="509">
        <f>+J197/J32*12</f>
        <v>50.148391997974159</v>
      </c>
      <c r="K198" s="509">
        <f>+K197/K32*12</f>
        <v>5.1911354137174666</v>
      </c>
      <c r="L198" s="509">
        <f>+L197/L32*12</f>
        <v>4.5562272056412416</v>
      </c>
      <c r="M198" s="509">
        <f>+M197/M32*12</f>
        <v>2.639863498824095</v>
      </c>
    </row>
    <row r="199" spans="1:13" ht="20.149999999999999" customHeight="1">
      <c r="A199" s="476">
        <v>4</v>
      </c>
      <c r="B199" s="477" t="s">
        <v>552</v>
      </c>
      <c r="C199" s="477"/>
      <c r="D199" s="477"/>
      <c r="E199" s="477" t="s">
        <v>598</v>
      </c>
      <c r="F199" s="474" t="s">
        <v>31</v>
      </c>
      <c r="G199" s="474"/>
      <c r="H199" s="474"/>
      <c r="I199" s="509">
        <f>I135</f>
        <v>0</v>
      </c>
      <c r="J199" s="509">
        <f>J135</f>
        <v>0</v>
      </c>
      <c r="K199" s="509">
        <f>K135</f>
        <v>0</v>
      </c>
      <c r="L199" s="509">
        <f>L135</f>
        <v>0</v>
      </c>
      <c r="M199" s="509">
        <f>M135</f>
        <v>0</v>
      </c>
    </row>
    <row r="200" spans="1:13" ht="20.149999999999999" customHeight="1">
      <c r="A200" s="476"/>
      <c r="B200" s="477"/>
      <c r="C200" s="477"/>
      <c r="D200" s="477"/>
      <c r="E200" s="477" t="s">
        <v>604</v>
      </c>
      <c r="F200" s="474"/>
      <c r="G200" s="474"/>
      <c r="H200" s="474"/>
      <c r="I200" s="509">
        <f>I199/I36*12</f>
        <v>0</v>
      </c>
      <c r="J200" s="509">
        <f>J199/J36*12</f>
        <v>0</v>
      </c>
      <c r="K200" s="509">
        <f>K199/K36*12</f>
        <v>0</v>
      </c>
      <c r="L200" s="509">
        <f>L199/L36*12</f>
        <v>0</v>
      </c>
      <c r="M200" s="509">
        <f>M199/M36*12</f>
        <v>0</v>
      </c>
    </row>
    <row r="201" spans="1:13" ht="20.149999999999999" customHeight="1">
      <c r="A201" s="476">
        <v>5</v>
      </c>
      <c r="B201" s="477" t="s">
        <v>540</v>
      </c>
      <c r="C201" s="477"/>
      <c r="D201" s="477"/>
      <c r="E201" s="477"/>
      <c r="F201" s="474"/>
      <c r="G201" s="474"/>
      <c r="H201" s="474"/>
      <c r="I201" s="485">
        <v>0</v>
      </c>
      <c r="J201" s="485">
        <v>0</v>
      </c>
      <c r="K201" s="485">
        <v>0</v>
      </c>
      <c r="L201" s="485">
        <v>0</v>
      </c>
      <c r="M201" s="485">
        <v>0</v>
      </c>
    </row>
    <row r="202" spans="1:13" ht="20.149999999999999" customHeight="1">
      <c r="A202" s="476"/>
      <c r="B202" s="477" t="s">
        <v>541</v>
      </c>
      <c r="C202" s="477"/>
      <c r="D202" s="477"/>
      <c r="E202" s="477"/>
      <c r="F202" s="474"/>
      <c r="G202" s="474"/>
      <c r="H202" s="474"/>
      <c r="I202" s="485">
        <v>0</v>
      </c>
      <c r="J202" s="485">
        <v>0</v>
      </c>
      <c r="K202" s="485">
        <v>0</v>
      </c>
      <c r="L202" s="485">
        <v>0</v>
      </c>
      <c r="M202" s="485">
        <v>0</v>
      </c>
    </row>
    <row r="203" spans="1:13" ht="20.149999999999999" customHeight="1">
      <c r="A203" s="476"/>
      <c r="B203" s="477"/>
      <c r="C203" s="477" t="s">
        <v>598</v>
      </c>
      <c r="D203" s="477"/>
      <c r="E203" s="477"/>
      <c r="F203" s="474"/>
      <c r="G203" s="474"/>
      <c r="H203" s="474"/>
      <c r="I203" s="509">
        <f>+I124</f>
        <v>0</v>
      </c>
      <c r="J203" s="509">
        <f>+J124</f>
        <v>14.95</v>
      </c>
      <c r="K203" s="509">
        <f>+K124</f>
        <v>34.36668054347826</v>
      </c>
      <c r="L203" s="509">
        <f>L124</f>
        <v>80.355587934782591</v>
      </c>
      <c r="M203" s="509">
        <f>M124</f>
        <v>188.39174298913039</v>
      </c>
    </row>
    <row r="204" spans="1:13" ht="20.149999999999999" customHeight="1">
      <c r="A204" s="476"/>
      <c r="B204" s="477"/>
      <c r="C204" s="477" t="s">
        <v>605</v>
      </c>
      <c r="D204" s="477"/>
      <c r="E204" s="477"/>
      <c r="F204" s="474"/>
      <c r="G204" s="474"/>
      <c r="H204" s="474"/>
      <c r="I204" s="509" t="e">
        <f>+I203/I13*12</f>
        <v>#DIV/0!</v>
      </c>
      <c r="J204" s="509">
        <f>+J203/J13*12</f>
        <v>3.2070075080443337</v>
      </c>
      <c r="K204" s="509">
        <f>+K203/K13*12</f>
        <v>0.6</v>
      </c>
      <c r="L204" s="509">
        <f>+L203/L13*12</f>
        <v>0.67359270334428123</v>
      </c>
      <c r="M204" s="509">
        <f>+M203/M13*12</f>
        <v>0.89999999999999991</v>
      </c>
    </row>
    <row r="205" spans="1:13" ht="20.149999999999999" customHeight="1">
      <c r="A205" s="476">
        <v>6</v>
      </c>
      <c r="B205" s="477" t="s">
        <v>606</v>
      </c>
      <c r="C205" s="477"/>
      <c r="D205" s="477"/>
      <c r="E205" s="477"/>
      <c r="F205" s="474"/>
      <c r="G205" s="474"/>
      <c r="H205" s="474"/>
      <c r="I205" s="485">
        <v>0</v>
      </c>
      <c r="J205" s="485">
        <v>0</v>
      </c>
      <c r="K205" s="485">
        <v>0</v>
      </c>
      <c r="L205" s="485">
        <v>0</v>
      </c>
      <c r="M205" s="485">
        <v>0</v>
      </c>
    </row>
    <row r="206" spans="1:13" ht="20.149999999999999" customHeight="1">
      <c r="A206" s="476"/>
      <c r="B206" s="477"/>
      <c r="C206" s="477" t="s">
        <v>598</v>
      </c>
      <c r="D206" s="477"/>
      <c r="E206" s="477"/>
      <c r="F206" s="474"/>
      <c r="G206" s="474"/>
      <c r="H206" s="474"/>
      <c r="I206" s="509">
        <f>+I126</f>
        <v>0</v>
      </c>
      <c r="J206" s="509">
        <f>+J126</f>
        <v>0</v>
      </c>
      <c r="K206" s="509">
        <f>+K126</f>
        <v>0</v>
      </c>
      <c r="L206" s="509">
        <f>+L126</f>
        <v>0</v>
      </c>
      <c r="M206" s="509">
        <f>+M126</f>
        <v>0</v>
      </c>
    </row>
    <row r="207" spans="1:13" ht="20.149999999999999" customHeight="1">
      <c r="A207" s="476"/>
      <c r="B207" s="477"/>
      <c r="C207" s="477" t="s">
        <v>607</v>
      </c>
      <c r="D207" s="477"/>
      <c r="E207" s="477"/>
      <c r="F207" s="474"/>
      <c r="G207" s="474"/>
      <c r="H207" s="474"/>
      <c r="I207" s="485">
        <v>0</v>
      </c>
      <c r="J207" s="485">
        <v>0</v>
      </c>
      <c r="K207" s="485">
        <v>0</v>
      </c>
      <c r="L207" s="485">
        <v>0</v>
      </c>
      <c r="M207" s="485">
        <v>0</v>
      </c>
    </row>
    <row r="208" spans="1:13" ht="20.149999999999999" customHeight="1">
      <c r="A208" s="476">
        <v>7</v>
      </c>
      <c r="B208" s="477" t="s">
        <v>608</v>
      </c>
      <c r="C208" s="477"/>
      <c r="D208" s="477"/>
      <c r="E208" s="477"/>
      <c r="F208" s="474"/>
      <c r="G208" s="474"/>
      <c r="H208" s="474"/>
      <c r="I208" s="485">
        <v>0</v>
      </c>
      <c r="J208" s="485">
        <v>0</v>
      </c>
      <c r="K208" s="485">
        <v>0</v>
      </c>
      <c r="L208" s="485">
        <v>0</v>
      </c>
      <c r="M208" s="485">
        <v>0</v>
      </c>
    </row>
    <row r="209" spans="1:13" ht="20.149999999999999" customHeight="1">
      <c r="A209" s="476"/>
      <c r="B209" s="477"/>
      <c r="C209" s="477" t="s">
        <v>598</v>
      </c>
      <c r="D209" s="477"/>
      <c r="E209" s="477"/>
      <c r="F209" s="474"/>
      <c r="G209" s="474"/>
      <c r="H209" s="474"/>
      <c r="I209" s="485">
        <v>0</v>
      </c>
      <c r="J209" s="485">
        <v>0</v>
      </c>
      <c r="K209" s="485">
        <v>0</v>
      </c>
      <c r="L209" s="485">
        <v>0</v>
      </c>
      <c r="M209" s="485">
        <v>0</v>
      </c>
    </row>
    <row r="210" spans="1:13" ht="20.149999999999999" customHeight="1">
      <c r="A210" s="476"/>
      <c r="B210" s="477"/>
      <c r="C210" s="477" t="s">
        <v>609</v>
      </c>
      <c r="D210" s="477"/>
      <c r="E210" s="477"/>
      <c r="F210" s="474"/>
      <c r="G210" s="474"/>
      <c r="H210" s="474"/>
      <c r="I210" s="485">
        <v>0</v>
      </c>
      <c r="J210" s="485">
        <v>0</v>
      </c>
      <c r="K210" s="485">
        <v>0</v>
      </c>
      <c r="L210" s="485">
        <v>0</v>
      </c>
      <c r="M210" s="485">
        <v>0</v>
      </c>
    </row>
    <row r="211" spans="1:13" ht="20.149999999999999" customHeight="1">
      <c r="A211" s="476">
        <v>8</v>
      </c>
      <c r="B211" s="477" t="s">
        <v>610</v>
      </c>
      <c r="C211" s="477"/>
      <c r="D211" s="477"/>
      <c r="E211" s="477"/>
      <c r="F211" s="474"/>
      <c r="G211" s="474"/>
      <c r="H211" s="474"/>
      <c r="I211" s="509">
        <f>I141</f>
        <v>0</v>
      </c>
      <c r="J211" s="509">
        <f>J141</f>
        <v>0</v>
      </c>
      <c r="K211" s="509">
        <f>K141</f>
        <v>0</v>
      </c>
      <c r="L211" s="509">
        <f>L141</f>
        <v>0</v>
      </c>
      <c r="M211" s="509">
        <f>M141</f>
        <v>0</v>
      </c>
    </row>
    <row r="212" spans="1:13" ht="20.149999999999999" customHeight="1">
      <c r="A212" s="476">
        <v>9</v>
      </c>
      <c r="B212" s="477" t="s">
        <v>611</v>
      </c>
      <c r="C212" s="477"/>
      <c r="D212" s="477"/>
      <c r="E212" s="477"/>
      <c r="F212" s="474"/>
      <c r="G212" s="474"/>
      <c r="H212" s="474"/>
      <c r="I212" s="487">
        <f>I214+I215+I216</f>
        <v>2.85</v>
      </c>
      <c r="J212" s="487">
        <f>J214+J215+J216</f>
        <v>115.1</v>
      </c>
      <c r="K212" s="487">
        <f>K214+K215+K216</f>
        <v>10.467273623287838</v>
      </c>
      <c r="L212" s="487">
        <f>L214+L215+L216</f>
        <v>32.721668852847074</v>
      </c>
      <c r="M212" s="487">
        <f>M214+M215+M216</f>
        <v>124.65637221961606</v>
      </c>
    </row>
    <row r="213" spans="1:13" ht="20.149999999999999" customHeight="1">
      <c r="A213" s="476"/>
      <c r="B213" s="477" t="s">
        <v>612</v>
      </c>
      <c r="C213" s="477"/>
      <c r="D213" s="477"/>
      <c r="E213" s="477"/>
      <c r="F213" s="474"/>
      <c r="G213" s="474"/>
      <c r="H213" s="474"/>
      <c r="I213" s="485">
        <v>0</v>
      </c>
      <c r="J213" s="485">
        <v>0</v>
      </c>
      <c r="K213" s="485">
        <v>0</v>
      </c>
      <c r="L213" s="485">
        <v>0</v>
      </c>
      <c r="M213" s="485">
        <v>0</v>
      </c>
    </row>
    <row r="214" spans="1:13" ht="20.149999999999999" customHeight="1">
      <c r="A214" s="476"/>
      <c r="B214" s="477"/>
      <c r="C214" s="477" t="s">
        <v>613</v>
      </c>
      <c r="D214" s="477"/>
      <c r="E214" s="477"/>
      <c r="F214" s="474"/>
      <c r="G214" s="474"/>
      <c r="H214" s="474"/>
      <c r="I214" s="509">
        <f>I120</f>
        <v>2.85</v>
      </c>
      <c r="J214" s="509">
        <f>J120</f>
        <v>115.1</v>
      </c>
      <c r="K214" s="509">
        <f>K120</f>
        <v>10.467273623287838</v>
      </c>
      <c r="L214" s="509">
        <f>L120</f>
        <v>32.721668852847074</v>
      </c>
      <c r="M214" s="509">
        <f>M120</f>
        <v>124.65637221961606</v>
      </c>
    </row>
    <row r="215" spans="1:13" ht="20.149999999999999" customHeight="1">
      <c r="A215" s="476"/>
      <c r="B215" s="477"/>
      <c r="C215" s="477" t="s">
        <v>614</v>
      </c>
      <c r="D215" s="477"/>
      <c r="E215" s="477"/>
      <c r="F215" s="474"/>
      <c r="G215" s="474"/>
      <c r="H215" s="474"/>
      <c r="I215" s="509">
        <f>I123</f>
        <v>0</v>
      </c>
      <c r="J215" s="509">
        <f>J123</f>
        <v>0</v>
      </c>
      <c r="K215" s="509">
        <f>K123</f>
        <v>0</v>
      </c>
      <c r="L215" s="509">
        <f>L123</f>
        <v>0</v>
      </c>
      <c r="M215" s="509">
        <f>M123</f>
        <v>0</v>
      </c>
    </row>
    <row r="216" spans="1:13" ht="20.149999999999999" customHeight="1">
      <c r="A216" s="476"/>
      <c r="B216" s="477"/>
      <c r="C216" s="477" t="s">
        <v>615</v>
      </c>
      <c r="D216" s="477"/>
      <c r="E216" s="477"/>
      <c r="F216" s="474" t="s">
        <v>31</v>
      </c>
      <c r="G216" s="474"/>
      <c r="H216" s="474"/>
      <c r="I216" s="509">
        <f>I142+I143</f>
        <v>0</v>
      </c>
      <c r="J216" s="509">
        <f>J142+J143</f>
        <v>0</v>
      </c>
      <c r="K216" s="509">
        <f>K142+K143</f>
        <v>0</v>
      </c>
      <c r="L216" s="509">
        <f>L142+L143</f>
        <v>0</v>
      </c>
      <c r="M216" s="509">
        <f>M142+M143</f>
        <v>0</v>
      </c>
    </row>
    <row r="217" spans="1:13" ht="20.149999999999999" customHeight="1">
      <c r="A217" s="476">
        <v>10</v>
      </c>
      <c r="B217" s="488" t="s">
        <v>616</v>
      </c>
      <c r="C217" s="477"/>
      <c r="D217" s="477"/>
      <c r="E217" s="477"/>
      <c r="F217" s="474"/>
      <c r="G217" s="474"/>
      <c r="H217" s="474"/>
      <c r="I217" s="528">
        <f>I147</f>
        <v>3.24</v>
      </c>
      <c r="J217" s="528">
        <f>J147</f>
        <v>331.40999999999997</v>
      </c>
      <c r="K217" s="528">
        <f>K147</f>
        <v>294.86395416676612</v>
      </c>
      <c r="L217" s="528">
        <f>L147</f>
        <v>578.10725678762969</v>
      </c>
      <c r="M217" s="528">
        <f>M147</f>
        <v>798.07811520874645</v>
      </c>
    </row>
    <row r="218" spans="1:13" ht="20.149999999999999" customHeight="1">
      <c r="A218" s="476"/>
      <c r="B218" s="477"/>
      <c r="C218" s="477"/>
      <c r="D218" s="477"/>
      <c r="E218" s="477"/>
      <c r="F218" s="474"/>
      <c r="G218" s="474"/>
      <c r="H218" s="474"/>
      <c r="I218" s="485">
        <v>0</v>
      </c>
      <c r="J218" s="485">
        <v>0</v>
      </c>
      <c r="K218" s="485">
        <v>0</v>
      </c>
      <c r="L218" s="485">
        <v>0</v>
      </c>
      <c r="M218" s="485">
        <v>0</v>
      </c>
    </row>
    <row r="219" spans="1:13" ht="20.149999999999999" customHeight="1">
      <c r="A219" s="476"/>
      <c r="B219" s="477"/>
      <c r="C219" s="656" t="s">
        <v>491</v>
      </c>
      <c r="D219" s="656"/>
      <c r="E219" s="656"/>
      <c r="F219" s="659"/>
      <c r="G219" s="529"/>
      <c r="H219" s="529"/>
      <c r="I219" s="485">
        <v>0</v>
      </c>
      <c r="J219" s="485">
        <v>0</v>
      </c>
      <c r="K219" s="485">
        <v>0</v>
      </c>
      <c r="L219" s="485">
        <v>0</v>
      </c>
      <c r="M219" s="485">
        <v>0</v>
      </c>
    </row>
    <row r="220" spans="1:13" ht="20.149999999999999" customHeight="1">
      <c r="A220" s="476"/>
      <c r="B220" s="477"/>
      <c r="C220" s="488" t="s">
        <v>617</v>
      </c>
      <c r="D220" s="477"/>
      <c r="E220" s="477"/>
      <c r="F220" s="474"/>
      <c r="G220" s="474"/>
      <c r="H220" s="474"/>
      <c r="I220" s="485">
        <v>0</v>
      </c>
      <c r="J220" s="485">
        <v>0</v>
      </c>
      <c r="K220" s="485">
        <v>0</v>
      </c>
      <c r="L220" s="485">
        <v>0</v>
      </c>
      <c r="M220" s="485">
        <v>0</v>
      </c>
    </row>
    <row r="221" spans="1:13" ht="20.149999999999999" customHeight="1">
      <c r="A221" s="476">
        <v>11</v>
      </c>
      <c r="B221" s="477" t="s">
        <v>618</v>
      </c>
      <c r="C221" s="477"/>
      <c r="D221" s="477"/>
      <c r="E221" s="477"/>
      <c r="F221" s="474"/>
      <c r="G221" s="474"/>
      <c r="H221" s="474"/>
      <c r="I221" s="485">
        <v>0</v>
      </c>
      <c r="J221" s="485">
        <v>0</v>
      </c>
      <c r="K221" s="485">
        <v>0</v>
      </c>
      <c r="L221" s="485">
        <v>0</v>
      </c>
      <c r="M221" s="485">
        <v>0</v>
      </c>
    </row>
    <row r="222" spans="1:13" ht="20.149999999999999" customHeight="1">
      <c r="A222" s="476"/>
      <c r="B222" s="477" t="s">
        <v>619</v>
      </c>
      <c r="C222" s="477"/>
      <c r="D222" s="477"/>
      <c r="E222" s="477" t="s">
        <v>598</v>
      </c>
      <c r="F222" s="474"/>
      <c r="G222" s="474"/>
      <c r="H222" s="474"/>
      <c r="I222" s="509">
        <f>I75</f>
        <v>0</v>
      </c>
      <c r="J222" s="509">
        <f>J75</f>
        <v>29.42</v>
      </c>
      <c r="K222" s="509">
        <f>K75</f>
        <v>32.275845384157236</v>
      </c>
      <c r="L222" s="509">
        <f>L75</f>
        <v>66.282111673615262</v>
      </c>
      <c r="M222" s="509">
        <f>M75</f>
        <v>103.53692805241215</v>
      </c>
    </row>
    <row r="223" spans="1:13" ht="20.149999999999999" customHeight="1">
      <c r="A223" s="476"/>
      <c r="B223" s="477"/>
      <c r="C223" s="477"/>
      <c r="D223" s="477"/>
      <c r="E223" s="477" t="s">
        <v>620</v>
      </c>
      <c r="F223" s="474"/>
      <c r="G223" s="474"/>
      <c r="H223" s="474"/>
      <c r="I223" s="509" t="e">
        <f>I222/(I20+I23)*12</f>
        <v>#DIV/0!</v>
      </c>
      <c r="J223" s="509">
        <f>J222/(J20+J23)*12</f>
        <v>2.0678263925496401</v>
      </c>
      <c r="K223" s="509">
        <f>K222/(K20+K23)*12</f>
        <v>0.83318583440174288</v>
      </c>
      <c r="L223" s="509">
        <f>L222/(L20+L23)*12</f>
        <v>0.78842171667823902</v>
      </c>
      <c r="M223" s="509">
        <f>M222/(M20+M23)*12</f>
        <v>0.84976659520883446</v>
      </c>
    </row>
    <row r="224" spans="1:13" ht="20.149999999999999" customHeight="1">
      <c r="A224" s="476">
        <v>12</v>
      </c>
      <c r="B224" s="477" t="s">
        <v>621</v>
      </c>
      <c r="C224" s="477"/>
      <c r="D224" s="477"/>
      <c r="E224" s="477"/>
      <c r="F224" s="474"/>
      <c r="G224" s="474"/>
      <c r="H224" s="474"/>
      <c r="I224" s="509">
        <f>I76</f>
        <v>0</v>
      </c>
      <c r="J224" s="509">
        <f>J76</f>
        <v>0</v>
      </c>
      <c r="K224" s="509">
        <f>K76</f>
        <v>0</v>
      </c>
      <c r="L224" s="509">
        <f>L76</f>
        <v>0</v>
      </c>
      <c r="M224" s="509">
        <f>M76</f>
        <v>0</v>
      </c>
    </row>
    <row r="225" spans="1:13" ht="20.149999999999999" customHeight="1">
      <c r="A225" s="476">
        <v>13</v>
      </c>
      <c r="B225" s="477" t="s">
        <v>622</v>
      </c>
      <c r="C225" s="477"/>
      <c r="D225" s="477"/>
      <c r="E225" s="477"/>
      <c r="F225" s="474"/>
      <c r="G225" s="474"/>
      <c r="H225" s="474"/>
      <c r="I225" s="485">
        <v>0</v>
      </c>
      <c r="J225" s="485">
        <v>0</v>
      </c>
      <c r="K225" s="485">
        <v>0</v>
      </c>
      <c r="L225" s="485">
        <v>0</v>
      </c>
      <c r="M225" s="485">
        <v>0</v>
      </c>
    </row>
    <row r="226" spans="1:13" ht="20.149999999999999" customHeight="1">
      <c r="A226" s="476">
        <v>14</v>
      </c>
      <c r="B226" s="477" t="s">
        <v>623</v>
      </c>
      <c r="C226" s="477"/>
      <c r="D226" s="477"/>
      <c r="E226" s="477"/>
      <c r="F226" s="474"/>
      <c r="G226" s="474"/>
      <c r="H226" s="474"/>
      <c r="I226" s="487">
        <f>SUM(I227:I230)</f>
        <v>0</v>
      </c>
      <c r="J226" s="487">
        <f>SUM(J227:J230)</f>
        <v>0</v>
      </c>
      <c r="K226" s="487">
        <f>SUM(K227:K230)</f>
        <v>0</v>
      </c>
      <c r="L226" s="487">
        <f>SUM(L227:L230)</f>
        <v>0</v>
      </c>
      <c r="M226" s="487">
        <f>SUM(M227:M230)</f>
        <v>0</v>
      </c>
    </row>
    <row r="227" spans="1:13" ht="20.149999999999999" customHeight="1">
      <c r="A227" s="476"/>
      <c r="B227" s="477"/>
      <c r="C227" s="477" t="s">
        <v>624</v>
      </c>
      <c r="D227" s="477"/>
      <c r="E227" s="477"/>
      <c r="F227" s="474"/>
      <c r="G227" s="474"/>
      <c r="H227" s="474"/>
      <c r="I227" s="485">
        <v>0</v>
      </c>
      <c r="J227" s="485">
        <v>0</v>
      </c>
      <c r="K227" s="485">
        <v>0</v>
      </c>
      <c r="L227" s="485">
        <v>0</v>
      </c>
      <c r="M227" s="485">
        <v>0</v>
      </c>
    </row>
    <row r="228" spans="1:13" ht="20.149999999999999" customHeight="1">
      <c r="A228" s="476"/>
      <c r="B228" s="477"/>
      <c r="C228" s="477" t="s">
        <v>625</v>
      </c>
      <c r="D228" s="477"/>
      <c r="E228" s="477"/>
      <c r="F228" s="474"/>
      <c r="G228" s="474"/>
      <c r="H228" s="474"/>
      <c r="I228" s="509">
        <f>I78</f>
        <v>0</v>
      </c>
      <c r="J228" s="509">
        <f>J78</f>
        <v>0</v>
      </c>
      <c r="K228" s="509">
        <f>K78</f>
        <v>0</v>
      </c>
      <c r="L228" s="509">
        <f>L78</f>
        <v>0</v>
      </c>
      <c r="M228" s="509">
        <f>M78</f>
        <v>0</v>
      </c>
    </row>
    <row r="229" spans="1:13" ht="20.149999999999999" customHeight="1">
      <c r="A229" s="476"/>
      <c r="B229" s="477"/>
      <c r="C229" s="477" t="s">
        <v>626</v>
      </c>
      <c r="D229" s="477"/>
      <c r="E229" s="477"/>
      <c r="F229" s="474"/>
      <c r="G229" s="474"/>
      <c r="H229" s="474"/>
      <c r="I229" s="485">
        <v>0</v>
      </c>
      <c r="J229" s="485">
        <v>0</v>
      </c>
      <c r="K229" s="485">
        <v>0</v>
      </c>
      <c r="L229" s="485">
        <v>0</v>
      </c>
      <c r="M229" s="485">
        <v>0</v>
      </c>
    </row>
    <row r="230" spans="1:13" ht="20.149999999999999" customHeight="1">
      <c r="A230" s="476"/>
      <c r="B230" s="477"/>
      <c r="C230" s="477" t="s">
        <v>627</v>
      </c>
      <c r="D230" s="477"/>
      <c r="E230" s="477"/>
      <c r="F230" s="474"/>
      <c r="G230" s="474"/>
      <c r="H230" s="474"/>
      <c r="I230" s="485">
        <v>0</v>
      </c>
      <c r="J230" s="485">
        <v>0</v>
      </c>
      <c r="K230" s="485">
        <v>0</v>
      </c>
      <c r="L230" s="485">
        <v>0</v>
      </c>
      <c r="M230" s="485">
        <v>0</v>
      </c>
    </row>
    <row r="231" spans="1:13" ht="20.149999999999999" customHeight="1">
      <c r="A231" s="476">
        <v>15</v>
      </c>
      <c r="B231" s="488" t="s">
        <v>628</v>
      </c>
      <c r="C231" s="477"/>
      <c r="D231" s="477"/>
      <c r="E231" s="477"/>
      <c r="F231" s="474"/>
      <c r="G231" s="474"/>
      <c r="H231" s="474"/>
      <c r="I231" s="528">
        <f xml:space="preserve"> I88</f>
        <v>11.7</v>
      </c>
      <c r="J231" s="528">
        <f xml:space="preserve"> J88</f>
        <v>103.26</v>
      </c>
      <c r="K231" s="528">
        <f xml:space="preserve"> K88</f>
        <v>111.86047141918606</v>
      </c>
      <c r="L231" s="528">
        <f xml:space="preserve"> L88</f>
        <v>249.63259307228904</v>
      </c>
      <c r="M231" s="528">
        <f xml:space="preserve"> M88</f>
        <v>331.74973251444567</v>
      </c>
    </row>
    <row r="232" spans="1:13" ht="20.149999999999999" customHeight="1">
      <c r="A232" s="476"/>
      <c r="B232" s="477"/>
      <c r="C232" s="477"/>
      <c r="D232" s="477"/>
      <c r="E232" s="477"/>
      <c r="F232" s="474"/>
      <c r="G232" s="474"/>
      <c r="H232" s="474"/>
      <c r="I232" s="484"/>
      <c r="J232" s="484"/>
      <c r="K232" s="484"/>
      <c r="L232" s="484"/>
      <c r="M232" s="484"/>
    </row>
    <row r="233" spans="1:13" ht="20.149999999999999" customHeight="1">
      <c r="A233" s="660" t="s">
        <v>629</v>
      </c>
      <c r="B233" s="661"/>
      <c r="C233" s="661"/>
      <c r="D233" s="661"/>
      <c r="E233" s="661"/>
      <c r="F233" s="661"/>
      <c r="G233" s="661"/>
      <c r="H233" s="661"/>
      <c r="I233" s="661"/>
      <c r="J233" s="661"/>
      <c r="K233" s="661"/>
      <c r="L233" s="661"/>
      <c r="M233" s="661"/>
    </row>
    <row r="234" spans="1:13" ht="20.149999999999999" customHeight="1">
      <c r="A234" s="662" t="s">
        <v>630</v>
      </c>
      <c r="B234" s="663"/>
      <c r="C234" s="663"/>
      <c r="D234" s="663"/>
      <c r="E234" s="663"/>
      <c r="F234" s="663"/>
      <c r="G234" s="663"/>
      <c r="H234" s="663"/>
      <c r="I234" s="663"/>
      <c r="J234" s="663"/>
      <c r="K234" s="663"/>
      <c r="L234" s="663"/>
      <c r="M234" s="663"/>
    </row>
    <row r="235" spans="1:13" ht="20.149999999999999" customHeight="1">
      <c r="A235" s="467"/>
      <c r="B235" s="530"/>
      <c r="C235" s="530"/>
      <c r="D235" s="530"/>
      <c r="E235" s="530"/>
      <c r="F235" s="530"/>
      <c r="G235" s="530"/>
      <c r="H235" s="530"/>
      <c r="I235" s="531"/>
      <c r="J235" s="531"/>
      <c r="K235" s="531"/>
      <c r="L235" s="531"/>
      <c r="M235" s="531"/>
    </row>
    <row r="236" spans="1:13" ht="20.149999999999999" customHeight="1">
      <c r="A236" s="532"/>
      <c r="B236" s="533"/>
      <c r="C236" s="533" t="str">
        <f>B181</f>
        <v>M/s Eco Green Breeders Private Limited</v>
      </c>
      <c r="D236" s="534"/>
      <c r="E236" s="534"/>
      <c r="F236" s="534"/>
      <c r="G236" s="534"/>
      <c r="H236" s="534"/>
      <c r="I236" s="657" t="s">
        <v>489</v>
      </c>
      <c r="J236" s="657"/>
      <c r="K236" s="657"/>
      <c r="L236" s="657"/>
      <c r="M236" s="657"/>
    </row>
    <row r="237" spans="1:13" ht="20.149999999999999" customHeight="1">
      <c r="A237" s="476"/>
      <c r="B237" s="477"/>
      <c r="C237" s="488"/>
      <c r="D237" s="488"/>
      <c r="E237" s="488"/>
      <c r="F237" s="488"/>
      <c r="G237" s="488"/>
      <c r="H237" s="488"/>
      <c r="I237" s="496" t="str">
        <f>I182</f>
        <v>March 31'22</v>
      </c>
      <c r="J237" s="496" t="str">
        <f>J182</f>
        <v>March 31'23</v>
      </c>
      <c r="K237" s="496" t="str">
        <f>K182</f>
        <v>March 31'24</v>
      </c>
      <c r="L237" s="496" t="str">
        <f>L182</f>
        <v>March 31'25</v>
      </c>
      <c r="M237" s="496" t="str">
        <f>M182</f>
        <v>March 31'26</v>
      </c>
    </row>
    <row r="238" spans="1:13" ht="20.149999999999999" customHeight="1">
      <c r="A238" s="476"/>
      <c r="B238" s="477"/>
      <c r="C238" s="477"/>
      <c r="D238" s="477"/>
      <c r="E238" s="477"/>
      <c r="F238" s="535"/>
      <c r="G238" s="535"/>
      <c r="H238" s="535"/>
      <c r="I238" s="536"/>
      <c r="J238" s="536"/>
      <c r="K238" s="536"/>
      <c r="L238" s="536"/>
      <c r="M238" s="536"/>
    </row>
    <row r="239" spans="1:13" ht="20.149999999999999" customHeight="1">
      <c r="A239" s="476"/>
      <c r="B239" s="477"/>
      <c r="C239" s="477"/>
      <c r="D239" s="477"/>
      <c r="F239" s="537"/>
      <c r="G239" s="537"/>
      <c r="H239" s="537"/>
      <c r="I239" s="538" t="str">
        <f>+I184</f>
        <v>Audited</v>
      </c>
      <c r="J239" s="538" t="str">
        <f>+J184</f>
        <v>Audited</v>
      </c>
      <c r="K239" s="538" t="str">
        <f>+K184</f>
        <v>Provisional</v>
      </c>
      <c r="L239" s="538" t="str">
        <f>+L184</f>
        <v>Projected</v>
      </c>
      <c r="M239" s="538" t="str">
        <f>+M184</f>
        <v>Projected</v>
      </c>
    </row>
    <row r="240" spans="1:13" ht="20.149999999999999" customHeight="1">
      <c r="A240" s="476"/>
      <c r="B240" s="477"/>
      <c r="C240" s="477"/>
      <c r="D240" s="477"/>
      <c r="F240" s="539"/>
      <c r="G240" s="539"/>
      <c r="H240" s="539"/>
      <c r="I240" s="496"/>
      <c r="J240" s="496"/>
      <c r="K240" s="496"/>
      <c r="L240" s="509"/>
      <c r="M240" s="509"/>
    </row>
    <row r="241" spans="1:13" ht="20.149999999999999" customHeight="1">
      <c r="A241" s="540">
        <v>1</v>
      </c>
      <c r="B241" s="477" t="s">
        <v>631</v>
      </c>
      <c r="C241" s="477"/>
      <c r="D241" s="477"/>
      <c r="E241" s="477"/>
      <c r="F241" s="539"/>
      <c r="G241" s="539"/>
      <c r="H241" s="539"/>
      <c r="I241" s="509">
        <f>I147</f>
        <v>3.24</v>
      </c>
      <c r="J241" s="509">
        <f>J147</f>
        <v>331.40999999999997</v>
      </c>
      <c r="K241" s="509">
        <f>K147</f>
        <v>294.86395416676612</v>
      </c>
      <c r="L241" s="509">
        <f>L147</f>
        <v>578.10725678762969</v>
      </c>
      <c r="M241" s="509">
        <f>M147</f>
        <v>798.07811520874645</v>
      </c>
    </row>
    <row r="242" spans="1:13" ht="20.149999999999999" customHeight="1">
      <c r="A242" s="540">
        <v>2</v>
      </c>
      <c r="B242" s="477" t="s">
        <v>632</v>
      </c>
      <c r="C242" s="477"/>
      <c r="D242" s="477"/>
      <c r="F242" s="539"/>
      <c r="G242" s="539"/>
      <c r="H242" s="539"/>
      <c r="I242" s="509">
        <f>I88</f>
        <v>11.7</v>
      </c>
      <c r="J242" s="509">
        <f>J88</f>
        <v>103.26</v>
      </c>
      <c r="K242" s="509">
        <f>K88</f>
        <v>111.86047141918606</v>
      </c>
      <c r="L242" s="509">
        <f>L88</f>
        <v>249.63259307228904</v>
      </c>
      <c r="M242" s="509">
        <f>M88</f>
        <v>331.74973251444567</v>
      </c>
    </row>
    <row r="243" spans="1:13" ht="20.149999999999999" customHeight="1">
      <c r="A243" s="540">
        <v>3</v>
      </c>
      <c r="B243" s="477" t="s">
        <v>633</v>
      </c>
      <c r="C243" s="477"/>
      <c r="D243" s="477"/>
      <c r="E243" s="477"/>
      <c r="F243" s="539"/>
      <c r="G243" s="539"/>
      <c r="H243" s="539"/>
      <c r="I243" s="509">
        <f>I241-I242</f>
        <v>-8.4599999999999991</v>
      </c>
      <c r="J243" s="509">
        <f>J241-J242</f>
        <v>228.14999999999998</v>
      </c>
      <c r="K243" s="509">
        <f>K241-K242</f>
        <v>183.00348274758005</v>
      </c>
      <c r="L243" s="509">
        <f>L241-L242</f>
        <v>328.47466371534063</v>
      </c>
      <c r="M243" s="509">
        <f>M241-M242</f>
        <v>466.32838269430079</v>
      </c>
    </row>
    <row r="244" spans="1:13" ht="20.149999999999999" customHeight="1">
      <c r="A244" s="540">
        <v>4</v>
      </c>
      <c r="B244" s="477" t="s">
        <v>634</v>
      </c>
      <c r="C244" s="477"/>
      <c r="D244" s="477"/>
      <c r="F244" s="539"/>
      <c r="G244" s="539"/>
      <c r="H244" s="539"/>
      <c r="I244" s="509">
        <f>I172</f>
        <v>-8.4599999999999795</v>
      </c>
      <c r="J244" s="509">
        <f>J172</f>
        <v>185.83999999999992</v>
      </c>
      <c r="K244" s="509">
        <f>K172</f>
        <v>53.003482747579824</v>
      </c>
      <c r="L244" s="509">
        <f>L172</f>
        <v>98.474663715340967</v>
      </c>
      <c r="M244" s="509">
        <f>M172</f>
        <v>236.32838269430113</v>
      </c>
    </row>
    <row r="245" spans="1:13" ht="20.149999999999999" customHeight="1">
      <c r="A245" s="540">
        <v>5</v>
      </c>
      <c r="B245" s="488" t="s">
        <v>635</v>
      </c>
      <c r="C245" s="477"/>
      <c r="D245" s="477"/>
      <c r="E245" s="477"/>
      <c r="F245" s="541"/>
      <c r="G245" s="541"/>
      <c r="H245" s="541"/>
      <c r="I245" s="528">
        <f>I243-I244</f>
        <v>-1.9539925233402755E-14</v>
      </c>
      <c r="J245" s="528">
        <f>J243-J244</f>
        <v>42.310000000000059</v>
      </c>
      <c r="K245" s="528">
        <f>K243-K244</f>
        <v>130.00000000000023</v>
      </c>
      <c r="L245" s="528">
        <f>L243-L244</f>
        <v>229.99999999999966</v>
      </c>
      <c r="M245" s="528">
        <f>M243-M244</f>
        <v>229.99999999999966</v>
      </c>
    </row>
    <row r="246" spans="1:13" ht="20.149999999999999" customHeight="1">
      <c r="A246" s="540">
        <v>6</v>
      </c>
      <c r="B246" s="477" t="s">
        <v>636</v>
      </c>
      <c r="C246" s="477"/>
      <c r="D246" s="477"/>
      <c r="F246" s="539"/>
      <c r="G246" s="539"/>
      <c r="H246" s="539"/>
      <c r="I246" s="509">
        <f>I172/I147*100</f>
        <v>-261.11111111111046</v>
      </c>
      <c r="J246" s="509">
        <f>J172/J147*100</f>
        <v>56.075555957876929</v>
      </c>
      <c r="K246" s="509">
        <f>K172/K147*100</f>
        <v>17.975572123543678</v>
      </c>
      <c r="L246" s="509">
        <f>L172/L147*100</f>
        <v>17.033978134530852</v>
      </c>
      <c r="M246" s="509">
        <f>M172/M147*100</f>
        <v>29.612186851219036</v>
      </c>
    </row>
    <row r="247" spans="1:13" ht="20.149999999999999" customHeight="1">
      <c r="A247" s="540">
        <v>7</v>
      </c>
      <c r="B247" s="477" t="s">
        <v>637</v>
      </c>
      <c r="C247" s="477"/>
      <c r="D247" s="477"/>
      <c r="E247" s="477"/>
      <c r="F247" s="539"/>
      <c r="G247" s="539"/>
      <c r="H247" s="539"/>
      <c r="I247" s="509">
        <f>I88/I147*100</f>
        <v>361.11111111111109</v>
      </c>
      <c r="J247" s="509">
        <f>J88/J147*100</f>
        <v>31.157780392866847</v>
      </c>
      <c r="K247" s="509">
        <f>K88/K147*100</f>
        <v>37.936299041801888</v>
      </c>
      <c r="L247" s="509">
        <f>L88/L147*100</f>
        <v>43.18101704161667</v>
      </c>
      <c r="M247" s="509">
        <f>M88/M147*100</f>
        <v>41.568579089237737</v>
      </c>
    </row>
    <row r="248" spans="1:13" ht="20.149999999999999" customHeight="1">
      <c r="A248" s="540">
        <v>8</v>
      </c>
      <c r="B248" s="477" t="s">
        <v>638</v>
      </c>
      <c r="C248" s="477"/>
      <c r="D248" s="477"/>
      <c r="E248" s="477"/>
      <c r="F248" s="539"/>
      <c r="G248" s="539"/>
      <c r="H248" s="539"/>
      <c r="I248" s="509">
        <f>I75/I147*100</f>
        <v>0</v>
      </c>
      <c r="J248" s="509">
        <f>J75/J147*100</f>
        <v>8.8772215684499578</v>
      </c>
      <c r="K248" s="509">
        <f>K75/K147*100</f>
        <v>10.946012534954679</v>
      </c>
      <c r="L248" s="509">
        <f>L75/L147*100</f>
        <v>11.465365794217023</v>
      </c>
      <c r="M248" s="509">
        <f>M75/M147*100</f>
        <v>12.973282449341554</v>
      </c>
    </row>
    <row r="249" spans="1:13" ht="20.149999999999999" customHeight="1">
      <c r="A249" s="540">
        <v>9</v>
      </c>
      <c r="B249" s="477" t="s">
        <v>639</v>
      </c>
      <c r="C249" s="477"/>
      <c r="D249" s="477"/>
      <c r="E249" s="477"/>
      <c r="F249" s="539"/>
      <c r="G249" s="539"/>
      <c r="H249" s="539"/>
      <c r="I249" s="509">
        <f>I245/I147*100</f>
        <v>-6.0308411214206035E-13</v>
      </c>
      <c r="J249" s="509">
        <f>J245/J147*100</f>
        <v>12.766663649256227</v>
      </c>
      <c r="K249" s="509">
        <f>K245/K147*100</f>
        <v>44.088128834654427</v>
      </c>
      <c r="L249" s="509">
        <f>L245/L147*100</f>
        <v>39.785004823852468</v>
      </c>
      <c r="M249" s="509">
        <f>M245/M147*100</f>
        <v>28.819234059543223</v>
      </c>
    </row>
    <row r="250" spans="1:13" ht="20.149999999999999" customHeight="1">
      <c r="A250" s="540">
        <v>10</v>
      </c>
      <c r="B250" s="477" t="s">
        <v>640</v>
      </c>
      <c r="C250" s="477"/>
      <c r="D250" s="477"/>
      <c r="E250" s="477"/>
      <c r="F250" s="539"/>
      <c r="G250" s="539"/>
      <c r="H250" s="539"/>
      <c r="I250" s="509" t="e">
        <f>(I129/I13)*365</f>
        <v>#DIV/0!</v>
      </c>
      <c r="J250" s="509">
        <f>(J129/J13)*365</f>
        <v>1076.7956739363606</v>
      </c>
      <c r="K250" s="509">
        <f>(K129/K13)*365</f>
        <v>130.12014629526416</v>
      </c>
      <c r="L250" s="509">
        <f>(L129/L13)*365</f>
        <v>113.4702985949562</v>
      </c>
      <c r="M250" s="509">
        <f>(M129/M13)*365</f>
        <v>64.666826988818201</v>
      </c>
    </row>
    <row r="251" spans="1:13" ht="20.149999999999999" customHeight="1">
      <c r="A251" s="540">
        <v>11</v>
      </c>
      <c r="B251" s="477" t="s">
        <v>641</v>
      </c>
      <c r="C251" s="477"/>
      <c r="D251" s="477"/>
      <c r="E251" s="477"/>
      <c r="F251" s="542"/>
      <c r="G251" s="542"/>
      <c r="H251" s="542"/>
      <c r="I251" s="543" t="e">
        <f>(I124+I126+I127+I128)/I10*365</f>
        <v>#DIV/0!</v>
      </c>
      <c r="J251" s="543">
        <f>(J124+J126+J127+J128)/J10*365</f>
        <v>97.546478369681807</v>
      </c>
      <c r="K251" s="543">
        <f>(K124+K126+K127+K128)/K10*365</f>
        <v>18.25</v>
      </c>
      <c r="L251" s="543">
        <f>(L124+L126+L127+L128)/L10*365</f>
        <v>20.488444726721887</v>
      </c>
      <c r="M251" s="543">
        <f>(M124+M126+M127+M128)/M10*365</f>
        <v>27.375</v>
      </c>
    </row>
    <row r="252" spans="1:13" ht="20.149999999999999" customHeight="1">
      <c r="A252" s="540">
        <v>12</v>
      </c>
      <c r="B252" s="477" t="s">
        <v>642</v>
      </c>
      <c r="C252" s="477"/>
      <c r="D252" s="477"/>
      <c r="E252" s="477"/>
      <c r="F252" s="539"/>
      <c r="G252" s="539"/>
      <c r="H252" s="539"/>
      <c r="I252" s="509"/>
      <c r="J252" s="509"/>
      <c r="K252" s="509"/>
      <c r="L252" s="509"/>
      <c r="M252" s="509"/>
    </row>
    <row r="253" spans="1:13" ht="20.149999999999999" customHeight="1">
      <c r="A253" s="476"/>
      <c r="B253" s="477"/>
      <c r="C253" s="477"/>
      <c r="D253" s="477"/>
      <c r="E253" s="517"/>
      <c r="F253" s="544"/>
      <c r="G253" s="544"/>
      <c r="H253" s="544"/>
      <c r="I253" s="509"/>
      <c r="J253" s="509"/>
      <c r="K253" s="509"/>
      <c r="L253" s="509"/>
      <c r="M253" s="509"/>
    </row>
    <row r="254" spans="1:13" ht="20.149999999999999" customHeight="1">
      <c r="A254" s="664" t="s">
        <v>643</v>
      </c>
      <c r="B254" s="665"/>
      <c r="C254" s="665"/>
      <c r="D254" s="665"/>
      <c r="E254" s="665"/>
      <c r="F254" s="665"/>
      <c r="G254" s="665"/>
      <c r="H254" s="665"/>
      <c r="I254" s="665"/>
      <c r="J254" s="665"/>
      <c r="K254" s="665"/>
      <c r="L254" s="665"/>
      <c r="M254" s="665"/>
    </row>
    <row r="255" spans="1:13" ht="20.149999999999999" customHeight="1">
      <c r="A255" s="664" t="s">
        <v>644</v>
      </c>
      <c r="B255" s="665"/>
      <c r="C255" s="665"/>
      <c r="D255" s="665"/>
      <c r="E255" s="665"/>
      <c r="F255" s="665"/>
      <c r="G255" s="665"/>
      <c r="H255" s="665"/>
      <c r="I255" s="665"/>
      <c r="J255" s="665"/>
      <c r="K255" s="665"/>
      <c r="L255" s="665"/>
      <c r="M255" s="665"/>
    </row>
    <row r="256" spans="1:13" ht="20.149999999999999" customHeight="1">
      <c r="A256" s="545"/>
      <c r="B256" s="508"/>
      <c r="C256" s="530"/>
      <c r="D256" s="530"/>
      <c r="E256" s="530"/>
    </row>
    <row r="257" spans="1:13" ht="20.149999999999999" customHeight="1">
      <c r="A257" s="476"/>
      <c r="B257" s="477"/>
      <c r="C257" s="477"/>
      <c r="D257" s="477"/>
      <c r="E257" s="477"/>
      <c r="F257" s="477"/>
      <c r="G257" s="477"/>
      <c r="H257" s="477"/>
      <c r="I257" s="483"/>
      <c r="J257" s="543" t="str">
        <f>J237</f>
        <v>March 31'23</v>
      </c>
      <c r="K257" s="543" t="str">
        <f>K237</f>
        <v>March 31'24</v>
      </c>
      <c r="L257" s="543" t="str">
        <f>L237</f>
        <v>March 31'25</v>
      </c>
      <c r="M257" s="543" t="str">
        <f>M237</f>
        <v>March 31'26</v>
      </c>
    </row>
    <row r="258" spans="1:13" ht="20.149999999999999" customHeight="1">
      <c r="A258" s="476">
        <v>1</v>
      </c>
      <c r="B258" s="510" t="s">
        <v>645</v>
      </c>
      <c r="C258" s="477"/>
      <c r="D258" s="477"/>
      <c r="E258" s="477"/>
      <c r="F258" s="477"/>
      <c r="G258" s="477"/>
      <c r="H258" s="477"/>
      <c r="I258" s="483"/>
      <c r="J258" s="483"/>
      <c r="K258" s="483"/>
      <c r="L258" s="483"/>
      <c r="M258" s="483"/>
    </row>
    <row r="259" spans="1:13" ht="20.149999999999999" customHeight="1">
      <c r="A259" s="476"/>
      <c r="B259" s="477" t="s">
        <v>646</v>
      </c>
      <c r="C259" s="477" t="s">
        <v>647</v>
      </c>
      <c r="D259" s="477"/>
      <c r="E259" s="477"/>
      <c r="F259" s="477"/>
      <c r="G259" s="477"/>
      <c r="H259" s="477"/>
      <c r="I259" s="483"/>
      <c r="J259" s="543">
        <f>J58</f>
        <v>0.96999999999998288</v>
      </c>
      <c r="K259" s="543">
        <f>K58</f>
        <v>42.979547531830008</v>
      </c>
      <c r="L259" s="543">
        <f>L58</f>
        <v>160.24796602105562</v>
      </c>
      <c r="M259" s="543">
        <f>M58</f>
        <v>234.2535109991411</v>
      </c>
    </row>
    <row r="260" spans="1:13" ht="20.149999999999999" customHeight="1">
      <c r="A260" s="476"/>
      <c r="B260" s="477" t="s">
        <v>648</v>
      </c>
      <c r="C260" s="477" t="s">
        <v>59</v>
      </c>
      <c r="D260" s="477"/>
      <c r="E260" s="477"/>
      <c r="F260" s="477"/>
      <c r="G260" s="477"/>
      <c r="H260" s="477"/>
      <c r="I260" s="483"/>
      <c r="J260" s="543">
        <f>J27</f>
        <v>5.35</v>
      </c>
      <c r="K260" s="543">
        <f>K27</f>
        <v>30.323935215750002</v>
      </c>
      <c r="L260" s="543">
        <f>L27</f>
        <v>55.295415782133333</v>
      </c>
      <c r="M260" s="543">
        <f>M27</f>
        <v>99.885922265533338</v>
      </c>
    </row>
    <row r="261" spans="1:13" ht="20.149999999999999" customHeight="1">
      <c r="A261" s="476"/>
      <c r="B261" s="477" t="s">
        <v>649</v>
      </c>
      <c r="C261" s="477" t="s">
        <v>650</v>
      </c>
      <c r="D261" s="477"/>
      <c r="E261" s="477"/>
      <c r="F261" s="477"/>
      <c r="G261" s="477"/>
      <c r="H261" s="477"/>
      <c r="I261" s="483"/>
      <c r="J261" s="543">
        <f>+J102-I102</f>
        <v>0</v>
      </c>
      <c r="K261" s="543">
        <f>+K102-J102</f>
        <v>234</v>
      </c>
      <c r="L261" s="543">
        <f>+L102-J102</f>
        <v>304</v>
      </c>
      <c r="M261" s="543">
        <f>+M102-K102</f>
        <v>70</v>
      </c>
    </row>
    <row r="262" spans="1:13" ht="20.149999999999999" customHeight="1">
      <c r="A262" s="476"/>
      <c r="B262" s="477" t="s">
        <v>651</v>
      </c>
      <c r="C262" s="477" t="s">
        <v>652</v>
      </c>
      <c r="D262" s="477"/>
      <c r="E262" s="477"/>
      <c r="F262" s="477"/>
      <c r="G262" s="477"/>
      <c r="H262" s="477"/>
      <c r="I262" s="483"/>
      <c r="J262" s="543">
        <f>IF((J98-I98)&gt;0,J98-I98,0)</f>
        <v>607.04</v>
      </c>
      <c r="K262" s="543">
        <f>IF((K98-J98)&gt;0,K98-J98,0)</f>
        <v>0</v>
      </c>
      <c r="L262" s="543">
        <f>IF((L98-J98)&gt;0,L98-J98,0)</f>
        <v>536.53792484990481</v>
      </c>
      <c r="M262" s="543">
        <f>IF((M98-K98)&gt;0,M98-K98,0)</f>
        <v>340.39221056419058</v>
      </c>
    </row>
    <row r="263" spans="1:13" ht="20.149999999999999" customHeight="1">
      <c r="A263" s="476"/>
      <c r="B263" s="477" t="s">
        <v>653</v>
      </c>
      <c r="C263" s="477" t="s">
        <v>654</v>
      </c>
      <c r="D263" s="477"/>
      <c r="E263" s="477" t="s">
        <v>655</v>
      </c>
      <c r="F263" s="477"/>
      <c r="G263" s="477"/>
      <c r="H263" s="477"/>
      <c r="I263" s="483"/>
      <c r="J263" s="543">
        <f>IF((J150-I150)&lt;0,I150-J150,0)</f>
        <v>0</v>
      </c>
      <c r="K263" s="543">
        <f>IF((K150-J150)&lt;0,J150-K150,0)</f>
        <v>0</v>
      </c>
      <c r="L263" s="543">
        <f>IF((L150-J150)&lt;0,J150-L150,0)</f>
        <v>0</v>
      </c>
      <c r="M263" s="543">
        <f>IF((M150-K150)&lt;0,K150-M150,0)</f>
        <v>0</v>
      </c>
    </row>
    <row r="264" spans="1:13" ht="20.149999999999999" customHeight="1">
      <c r="A264" s="476"/>
      <c r="B264" s="477"/>
      <c r="C264" s="477"/>
      <c r="D264" s="477"/>
      <c r="E264" s="477" t="s">
        <v>656</v>
      </c>
      <c r="F264" s="477"/>
      <c r="G264" s="477"/>
      <c r="H264" s="477"/>
      <c r="I264" s="483"/>
      <c r="J264" s="543">
        <f>IF((J166-I166)&lt;0,I166-J166,0)</f>
        <v>0</v>
      </c>
      <c r="K264" s="543">
        <f>IF((K166-J166)&lt;0,J166-K166,0)</f>
        <v>0</v>
      </c>
      <c r="L264" s="543">
        <f>IF((L166-J166)&lt;0,J166-L166,0)</f>
        <v>0</v>
      </c>
      <c r="M264" s="543">
        <f>IF((M166-K166)&lt;0,K166-M166,0)</f>
        <v>0</v>
      </c>
    </row>
    <row r="265" spans="1:13" ht="20.149999999999999" customHeight="1">
      <c r="A265" s="476"/>
      <c r="B265" s="477" t="s">
        <v>657</v>
      </c>
      <c r="C265" s="477" t="s">
        <v>110</v>
      </c>
      <c r="D265" s="477"/>
      <c r="E265" s="477"/>
      <c r="F265" s="477"/>
      <c r="G265" s="477"/>
      <c r="H265" s="477"/>
      <c r="I265" s="483"/>
      <c r="J265" s="543">
        <v>0</v>
      </c>
      <c r="K265" s="543">
        <v>0</v>
      </c>
      <c r="L265" s="543">
        <v>0</v>
      </c>
      <c r="M265" s="543">
        <v>0</v>
      </c>
    </row>
    <row r="266" spans="1:13" ht="20.149999999999999" customHeight="1">
      <c r="A266" s="476"/>
      <c r="B266" s="477" t="s">
        <v>658</v>
      </c>
      <c r="C266" s="477" t="s">
        <v>659</v>
      </c>
      <c r="D266" s="477"/>
      <c r="E266" s="477"/>
      <c r="F266" s="477"/>
      <c r="G266" s="477"/>
      <c r="H266" s="477"/>
      <c r="I266" s="483"/>
      <c r="J266" s="543">
        <f>+J107</f>
        <v>0</v>
      </c>
      <c r="K266" s="543">
        <f>+K107</f>
        <v>0</v>
      </c>
      <c r="L266" s="543">
        <f>+L107</f>
        <v>0</v>
      </c>
      <c r="M266" s="543">
        <f>+M107</f>
        <v>0</v>
      </c>
    </row>
    <row r="267" spans="1:13" ht="20.149999999999999" customHeight="1">
      <c r="A267" s="476"/>
      <c r="B267" s="477" t="s">
        <v>660</v>
      </c>
      <c r="C267" s="488" t="s">
        <v>30</v>
      </c>
      <c r="D267" s="477"/>
      <c r="E267" s="477"/>
      <c r="F267" s="477"/>
      <c r="G267" s="477"/>
      <c r="H267" s="477"/>
      <c r="I267" s="483"/>
      <c r="J267" s="547">
        <f>SUM(J259:J266)</f>
        <v>613.3599999999999</v>
      </c>
      <c r="K267" s="547">
        <f>SUM(K259:K266)</f>
        <v>307.30348274758001</v>
      </c>
      <c r="L267" s="547">
        <f>SUM(L259:L266)</f>
        <v>1056.0813066530936</v>
      </c>
      <c r="M267" s="547">
        <f>SUM(M259:M266)</f>
        <v>744.53164382886507</v>
      </c>
    </row>
    <row r="268" spans="1:13" ht="20.149999999999999" customHeight="1">
      <c r="A268" s="476">
        <v>2</v>
      </c>
      <c r="B268" s="510" t="s">
        <v>661</v>
      </c>
      <c r="C268" s="477"/>
      <c r="D268" s="477"/>
      <c r="E268" s="477"/>
      <c r="F268" s="477"/>
      <c r="G268" s="477"/>
      <c r="H268" s="477"/>
      <c r="I268" s="483"/>
      <c r="J268" s="543"/>
      <c r="K268" s="543"/>
      <c r="L268" s="543"/>
      <c r="M268" s="543"/>
    </row>
    <row r="269" spans="1:13" ht="20.149999999999999" customHeight="1">
      <c r="A269" s="476"/>
      <c r="B269" s="477" t="s">
        <v>646</v>
      </c>
      <c r="C269" s="477" t="s">
        <v>662</v>
      </c>
      <c r="D269" s="477"/>
      <c r="E269" s="477"/>
      <c r="F269" s="477"/>
      <c r="G269" s="477"/>
      <c r="H269" s="477"/>
      <c r="I269" s="483"/>
      <c r="J269" s="543">
        <f>IF(J56&lt;0,J56,0)</f>
        <v>0</v>
      </c>
      <c r="K269" s="543">
        <f>IF(K56&lt;0,K56,0)</f>
        <v>0</v>
      </c>
      <c r="L269" s="543">
        <f>IF(L56&lt;0,L56,0)</f>
        <v>0</v>
      </c>
      <c r="M269" s="543">
        <f>IF(M56&lt;0,M56,0)</f>
        <v>0</v>
      </c>
    </row>
    <row r="270" spans="1:13" ht="20.149999999999999" customHeight="1">
      <c r="A270" s="476"/>
      <c r="B270" s="477" t="s">
        <v>648</v>
      </c>
      <c r="C270" s="477" t="s">
        <v>663</v>
      </c>
      <c r="D270" s="477"/>
      <c r="E270" s="477"/>
      <c r="F270" s="477"/>
      <c r="G270" s="477"/>
      <c r="H270" s="477"/>
      <c r="I270" s="483"/>
      <c r="J270" s="543">
        <f>IF((J98-I98)&lt;0,I98-J98,0)</f>
        <v>0</v>
      </c>
      <c r="K270" s="543">
        <f>IF((K93-J93)&lt;0,J93-K93,0)</f>
        <v>0</v>
      </c>
      <c r="L270" s="543">
        <f t="shared" ref="L270:M270" si="6">IF((L93-K93)&lt;0,K93-L93,0)</f>
        <v>0</v>
      </c>
      <c r="M270" s="543">
        <f t="shared" si="6"/>
        <v>196.28571428571433</v>
      </c>
    </row>
    <row r="271" spans="1:13" ht="20.149999999999999" customHeight="1">
      <c r="A271" s="476"/>
      <c r="B271" s="477" t="s">
        <v>649</v>
      </c>
      <c r="C271" s="477" t="s">
        <v>664</v>
      </c>
      <c r="D271" s="477"/>
      <c r="E271" s="477" t="s">
        <v>665</v>
      </c>
      <c r="F271" s="477"/>
      <c r="G271" s="477"/>
      <c r="H271" s="477"/>
      <c r="I271" s="483"/>
      <c r="J271" s="543">
        <f>IF((J150-I150)&gt;0,J150-I150,0)</f>
        <v>419.06</v>
      </c>
      <c r="K271" s="543">
        <f>IF((K150-J150)&gt;0,K150-J150,0)</f>
        <v>440.00000000000011</v>
      </c>
      <c r="L271" s="543">
        <f>IF((L150-J150)&gt;0,L150-J150,0)</f>
        <v>1216.7501256853329</v>
      </c>
      <c r="M271" s="543">
        <f>IF((M150-K150)&gt;0,M150-K150,0)</f>
        <v>776.75012568533293</v>
      </c>
    </row>
    <row r="272" spans="1:13" ht="20.149999999999999" customHeight="1">
      <c r="A272" s="476"/>
      <c r="B272" s="477"/>
      <c r="C272" s="477"/>
      <c r="D272" s="477"/>
      <c r="E272" s="477" t="s">
        <v>666</v>
      </c>
      <c r="F272" s="477"/>
      <c r="G272" s="477"/>
      <c r="H272" s="477"/>
      <c r="I272" s="483"/>
      <c r="J272" s="543">
        <v>0</v>
      </c>
      <c r="K272" s="543">
        <v>0</v>
      </c>
      <c r="L272" s="543">
        <v>0</v>
      </c>
      <c r="M272" s="543">
        <v>0</v>
      </c>
    </row>
    <row r="273" spans="1:13" ht="20.149999999999999" customHeight="1">
      <c r="A273" s="476"/>
      <c r="B273" s="477"/>
      <c r="C273" s="477"/>
      <c r="D273" s="477"/>
      <c r="E273" s="477" t="s">
        <v>667</v>
      </c>
      <c r="F273" s="477"/>
      <c r="G273" s="477"/>
      <c r="H273" s="477"/>
      <c r="I273" s="483"/>
      <c r="J273" s="543">
        <f>IF((J166-I166)&gt;0,J166-I166,0)</f>
        <v>0</v>
      </c>
      <c r="K273" s="543">
        <f>IF((K166-J166)&gt;0,K166-J166,0)</f>
        <v>0</v>
      </c>
      <c r="L273" s="543">
        <f>IF((L166-J166)&gt;0,L166-J166,0)</f>
        <v>0</v>
      </c>
      <c r="M273" s="543">
        <f>IF((M166-K166)&gt;0,M166-K166,0)</f>
        <v>0</v>
      </c>
    </row>
    <row r="274" spans="1:13" ht="20.149999999999999" customHeight="1">
      <c r="A274" s="476"/>
      <c r="B274" s="477" t="s">
        <v>651</v>
      </c>
      <c r="C274" s="477" t="s">
        <v>668</v>
      </c>
      <c r="D274" s="477"/>
      <c r="E274" s="477"/>
      <c r="F274" s="477"/>
      <c r="G274" s="477"/>
      <c r="H274" s="477"/>
      <c r="I274" s="483"/>
      <c r="J274" s="543">
        <f>J167-I167</f>
        <v>0</v>
      </c>
      <c r="K274" s="543">
        <f>K167-J167</f>
        <v>0</v>
      </c>
      <c r="L274" s="543">
        <f>L167-J167</f>
        <v>0</v>
      </c>
      <c r="M274" s="543">
        <f>M167-K167</f>
        <v>0</v>
      </c>
    </row>
    <row r="275" spans="1:13" ht="20.149999999999999" customHeight="1">
      <c r="A275" s="476"/>
      <c r="B275" s="477" t="s">
        <v>653</v>
      </c>
      <c r="C275" s="477" t="s">
        <v>669</v>
      </c>
      <c r="D275" s="477"/>
      <c r="E275" s="477"/>
      <c r="F275" s="477"/>
      <c r="G275" s="477"/>
      <c r="H275" s="477"/>
      <c r="I275" s="483"/>
      <c r="J275" s="543">
        <v>0</v>
      </c>
      <c r="K275" s="543">
        <v>0</v>
      </c>
      <c r="L275" s="543">
        <v>0</v>
      </c>
      <c r="M275" s="543">
        <v>0</v>
      </c>
    </row>
    <row r="276" spans="1:13" ht="20.149999999999999" customHeight="1">
      <c r="A276" s="476"/>
      <c r="B276" s="477" t="s">
        <v>657</v>
      </c>
      <c r="C276" s="477" t="s">
        <v>110</v>
      </c>
      <c r="D276" s="477" t="s">
        <v>670</v>
      </c>
      <c r="E276" s="477"/>
      <c r="F276" s="477"/>
      <c r="G276" s="477"/>
      <c r="H276" s="477"/>
      <c r="I276" s="483"/>
      <c r="J276" s="543">
        <v>0</v>
      </c>
      <c r="K276" s="543">
        <v>0</v>
      </c>
      <c r="L276" s="543">
        <v>0</v>
      </c>
      <c r="M276" s="543">
        <v>0</v>
      </c>
    </row>
    <row r="277" spans="1:13" ht="20.149999999999999" customHeight="1">
      <c r="A277" s="476"/>
      <c r="B277" s="477" t="s">
        <v>671</v>
      </c>
      <c r="C277" s="488" t="s">
        <v>30</v>
      </c>
      <c r="D277" s="477"/>
      <c r="E277" s="477"/>
      <c r="F277" s="477"/>
      <c r="G277" s="477"/>
      <c r="H277" s="477"/>
      <c r="I277" s="483"/>
      <c r="J277" s="547">
        <f>SUM(J269:J276)</f>
        <v>419.06</v>
      </c>
      <c r="K277" s="547">
        <f>SUM(K269:K276)</f>
        <v>440.00000000000011</v>
      </c>
      <c r="L277" s="547">
        <f>SUM(L269:L276)</f>
        <v>1216.7501256853329</v>
      </c>
      <c r="M277" s="547">
        <f>SUM(M269:M276)</f>
        <v>973.03583997104727</v>
      </c>
    </row>
    <row r="278" spans="1:13" ht="20.149999999999999" customHeight="1">
      <c r="A278" s="476">
        <v>3</v>
      </c>
      <c r="B278" s="548" t="s">
        <v>672</v>
      </c>
      <c r="C278" s="548"/>
      <c r="D278" s="548"/>
      <c r="E278" s="548"/>
      <c r="F278" s="548"/>
      <c r="G278" s="548"/>
      <c r="H278" s="548"/>
      <c r="I278" s="549"/>
      <c r="J278" s="491">
        <f>J267-J277</f>
        <v>194.2999999999999</v>
      </c>
      <c r="K278" s="491">
        <f>K267-K277</f>
        <v>-132.69651725242011</v>
      </c>
      <c r="L278" s="491">
        <f>L267-L277</f>
        <v>-160.6688190322393</v>
      </c>
      <c r="M278" s="491">
        <f>M267-M277</f>
        <v>-228.5041961421822</v>
      </c>
    </row>
    <row r="279" spans="1:13" ht="20.149999999999999" customHeight="1">
      <c r="A279" s="476"/>
      <c r="B279" s="548"/>
      <c r="C279" s="548"/>
      <c r="D279" s="548" t="s">
        <v>673</v>
      </c>
      <c r="E279" s="548"/>
      <c r="F279" s="548"/>
      <c r="G279" s="548"/>
      <c r="H279" s="548"/>
      <c r="I279" s="549"/>
      <c r="J279" s="491">
        <f>J172-I172</f>
        <v>194.2999999999999</v>
      </c>
      <c r="K279" s="491">
        <f>K172-J172</f>
        <v>-132.83651725242009</v>
      </c>
      <c r="L279" s="491">
        <f>L172-J172</f>
        <v>-87.365336284658952</v>
      </c>
      <c r="M279" s="491">
        <f>M172-K172</f>
        <v>183.3248999467213</v>
      </c>
    </row>
    <row r="280" spans="1:13" ht="20.149999999999999" customHeight="1">
      <c r="A280" s="476">
        <v>4</v>
      </c>
      <c r="B280" s="477" t="s">
        <v>674</v>
      </c>
      <c r="C280" s="477"/>
      <c r="D280" s="477"/>
      <c r="E280" s="477"/>
      <c r="F280" s="477"/>
      <c r="G280" s="477"/>
      <c r="H280" s="477"/>
      <c r="I280" s="483"/>
      <c r="J280" s="543">
        <f>J296</f>
        <v>328.16999999999996</v>
      </c>
      <c r="K280" s="543">
        <f>K296</f>
        <v>-36.546045833233848</v>
      </c>
      <c r="L280" s="543">
        <f>L296</f>
        <v>246.69725678762975</v>
      </c>
      <c r="M280" s="543">
        <f>M296</f>
        <v>503.21416104198033</v>
      </c>
    </row>
    <row r="281" spans="1:13" ht="20.149999999999999" customHeight="1">
      <c r="A281" s="476"/>
      <c r="B281" s="477"/>
      <c r="C281" s="477" t="s">
        <v>675</v>
      </c>
      <c r="D281" s="477"/>
      <c r="E281" s="477"/>
      <c r="F281" s="477"/>
      <c r="G281" s="477"/>
      <c r="H281" s="477"/>
      <c r="I281" s="483"/>
      <c r="J281" s="543"/>
      <c r="K281" s="543"/>
      <c r="L281" s="543"/>
      <c r="M281" s="543"/>
    </row>
    <row r="282" spans="1:13" ht="20.149999999999999" customHeight="1">
      <c r="A282" s="476">
        <v>5</v>
      </c>
      <c r="B282" s="477" t="s">
        <v>676</v>
      </c>
      <c r="C282" s="477"/>
      <c r="D282" s="477"/>
      <c r="E282" s="477"/>
      <c r="F282" s="477"/>
      <c r="G282" s="477"/>
      <c r="H282" s="477"/>
      <c r="I282" s="483"/>
      <c r="J282" s="543">
        <f>J88-I88</f>
        <v>91.56</v>
      </c>
      <c r="K282" s="543">
        <f>K88-J88</f>
        <v>8.6004714191860501</v>
      </c>
      <c r="L282" s="543">
        <f>L88-J88</f>
        <v>146.37259307228902</v>
      </c>
      <c r="M282" s="543">
        <f>M88-K88</f>
        <v>219.8892610952596</v>
      </c>
    </row>
    <row r="283" spans="1:13" ht="20.149999999999999" customHeight="1">
      <c r="A283" s="476"/>
      <c r="B283" s="477"/>
      <c r="C283" s="477" t="s">
        <v>677</v>
      </c>
      <c r="D283" s="477"/>
      <c r="E283" s="477"/>
      <c r="F283" s="477"/>
      <c r="G283" s="477"/>
      <c r="H283" s="477"/>
      <c r="I283" s="483"/>
      <c r="J283" s="543"/>
      <c r="K283" s="543"/>
      <c r="L283" s="543"/>
      <c r="M283" s="543"/>
    </row>
    <row r="284" spans="1:13" ht="20.149999999999999" customHeight="1">
      <c r="A284" s="476">
        <v>6</v>
      </c>
      <c r="B284" s="477" t="s">
        <v>678</v>
      </c>
      <c r="C284" s="477"/>
      <c r="D284" s="477"/>
      <c r="E284" s="477"/>
      <c r="F284" s="477"/>
      <c r="G284" s="477"/>
      <c r="H284" s="477"/>
      <c r="I284" s="483"/>
      <c r="J284" s="543">
        <f>J280-J282</f>
        <v>236.60999999999996</v>
      </c>
      <c r="K284" s="543">
        <f>K280-K282</f>
        <v>-45.146517252419898</v>
      </c>
      <c r="L284" s="543">
        <f>L280-L282</f>
        <v>100.32466371534073</v>
      </c>
      <c r="M284" s="543">
        <f>M280-M282</f>
        <v>283.32489994672073</v>
      </c>
    </row>
    <row r="285" spans="1:13" ht="20.149999999999999" customHeight="1">
      <c r="A285" s="476">
        <v>7</v>
      </c>
      <c r="B285" s="477" t="s">
        <v>679</v>
      </c>
      <c r="C285" s="477"/>
      <c r="D285" s="477"/>
      <c r="E285" s="477"/>
      <c r="F285" s="477"/>
      <c r="G285" s="477"/>
      <c r="H285" s="477"/>
      <c r="I285" s="483"/>
      <c r="J285" s="543">
        <f>J278-J284</f>
        <v>-42.310000000000059</v>
      </c>
      <c r="K285" s="543">
        <f>K278-K284</f>
        <v>-87.55000000000021</v>
      </c>
      <c r="L285" s="543">
        <f>L278-L284</f>
        <v>-260.99348274758006</v>
      </c>
      <c r="M285" s="543">
        <f>M278-M284</f>
        <v>-511.82909608890293</v>
      </c>
    </row>
    <row r="286" spans="1:13" ht="20.149999999999999" customHeight="1">
      <c r="A286" s="476">
        <v>8</v>
      </c>
      <c r="B286" s="477" t="s">
        <v>680</v>
      </c>
      <c r="C286" s="477"/>
      <c r="D286" s="477"/>
      <c r="E286" s="477"/>
      <c r="F286" s="477"/>
      <c r="G286" s="477"/>
      <c r="H286" s="477"/>
      <c r="I286" s="483"/>
      <c r="J286" s="543">
        <f>J73-I73</f>
        <v>42.31</v>
      </c>
      <c r="K286" s="543">
        <f>K73-J73</f>
        <v>87.69</v>
      </c>
      <c r="L286" s="543">
        <f>L73-J73</f>
        <v>187.69</v>
      </c>
      <c r="M286" s="543">
        <f>M73-K73</f>
        <v>100</v>
      </c>
    </row>
    <row r="287" spans="1:13" ht="20.149999999999999" customHeight="1">
      <c r="A287" s="476"/>
      <c r="B287" s="665" t="s">
        <v>681</v>
      </c>
      <c r="C287" s="665"/>
      <c r="D287" s="665"/>
      <c r="E287" s="665"/>
      <c r="F287" s="666"/>
      <c r="G287" s="516"/>
      <c r="H287" s="516"/>
      <c r="I287" s="527"/>
      <c r="J287" s="547">
        <f>I13-J13</f>
        <v>-55.939999999999991</v>
      </c>
      <c r="K287" s="547">
        <f>J13-K13</f>
        <v>-631.39361086956535</v>
      </c>
      <c r="L287" s="547">
        <f>J13-L13</f>
        <v>-1375.5883559782606</v>
      </c>
      <c r="M287" s="547">
        <f>K13-M13</f>
        <v>-1824.5562956521735</v>
      </c>
    </row>
    <row r="288" spans="1:13" ht="20.149999999999999" customHeight="1">
      <c r="A288" s="476"/>
      <c r="B288" s="506"/>
      <c r="C288" s="506"/>
      <c r="D288" s="477" t="s">
        <v>682</v>
      </c>
      <c r="E288" s="506"/>
      <c r="F288" s="506"/>
      <c r="G288" s="506"/>
      <c r="H288" s="506"/>
      <c r="I288" s="507"/>
      <c r="J288" s="550"/>
      <c r="K288" s="550"/>
      <c r="L288" s="550"/>
      <c r="M288" s="550"/>
    </row>
    <row r="289" spans="1:13" ht="20.149999999999999" customHeight="1">
      <c r="A289" s="476"/>
      <c r="B289" s="477"/>
      <c r="C289" s="477" t="s">
        <v>683</v>
      </c>
      <c r="D289" s="477"/>
      <c r="E289" s="477"/>
      <c r="F289" s="477"/>
      <c r="G289" s="477"/>
      <c r="H289" s="477"/>
      <c r="I289" s="483"/>
      <c r="J289" s="543">
        <f>J130-I130</f>
        <v>0</v>
      </c>
      <c r="K289" s="543">
        <f>K130-J130</f>
        <v>0</v>
      </c>
      <c r="L289" s="543">
        <f>L130-J130</f>
        <v>0</v>
      </c>
      <c r="M289" s="543">
        <f>M130-K130</f>
        <v>0</v>
      </c>
    </row>
    <row r="290" spans="1:13" ht="20.149999999999999" customHeight="1">
      <c r="A290" s="476"/>
      <c r="B290" s="477"/>
      <c r="C290" s="477" t="s">
        <v>684</v>
      </c>
      <c r="D290" s="477"/>
      <c r="E290" s="477"/>
      <c r="F290" s="477"/>
      <c r="G290" s="477"/>
      <c r="H290" s="477"/>
      <c r="I290" s="483"/>
      <c r="J290" s="543">
        <f>J134-I134</f>
        <v>165.03</v>
      </c>
      <c r="K290" s="543">
        <f>K134-J134</f>
        <v>80</v>
      </c>
      <c r="L290" s="543">
        <f>L134-J134</f>
        <v>280</v>
      </c>
      <c r="M290" s="543">
        <f>M134-K134</f>
        <v>199.99999999999997</v>
      </c>
    </row>
    <row r="291" spans="1:13" ht="20.149999999999999" customHeight="1">
      <c r="A291" s="476"/>
      <c r="B291" s="477"/>
      <c r="C291" s="477" t="s">
        <v>685</v>
      </c>
      <c r="D291" s="477"/>
      <c r="E291" s="477"/>
      <c r="F291" s="477"/>
      <c r="G291" s="477"/>
      <c r="H291" s="477"/>
      <c r="I291" s="483"/>
      <c r="J291" s="543">
        <f>J135-I135</f>
        <v>0</v>
      </c>
      <c r="K291" s="543">
        <f>K135-J135</f>
        <v>0</v>
      </c>
      <c r="L291" s="543">
        <f>L135-J135</f>
        <v>0</v>
      </c>
      <c r="M291" s="543">
        <f>M135-K135</f>
        <v>0</v>
      </c>
    </row>
    <row r="292" spans="1:13" ht="20.149999999999999" customHeight="1">
      <c r="A292" s="476"/>
      <c r="B292" s="477"/>
      <c r="C292" s="477" t="s">
        <v>686</v>
      </c>
      <c r="D292" s="477"/>
      <c r="E292" s="477"/>
      <c r="F292" s="477"/>
      <c r="G292" s="477"/>
      <c r="H292" s="477"/>
      <c r="I292" s="483"/>
      <c r="J292" s="543">
        <f>J124-I124</f>
        <v>14.95</v>
      </c>
      <c r="K292" s="543">
        <f>K124-J124</f>
        <v>19.416680543478261</v>
      </c>
      <c r="L292" s="543">
        <f>L124-J124</f>
        <v>65.405587934782588</v>
      </c>
      <c r="M292" s="543">
        <f>M124-K124</f>
        <v>154.02506244565214</v>
      </c>
    </row>
    <row r="293" spans="1:13" ht="20.149999999999999" customHeight="1">
      <c r="A293" s="476"/>
      <c r="B293" s="477"/>
      <c r="C293" s="477" t="s">
        <v>687</v>
      </c>
      <c r="D293" s="477"/>
      <c r="E293" s="477"/>
      <c r="F293" s="477"/>
      <c r="G293" s="477"/>
      <c r="H293" s="477"/>
      <c r="I293" s="483"/>
      <c r="J293" s="543"/>
      <c r="K293" s="543"/>
      <c r="L293" s="543"/>
      <c r="M293" s="543"/>
    </row>
    <row r="294" spans="1:13" ht="20.149999999999999" customHeight="1">
      <c r="A294" s="476"/>
      <c r="B294" s="477"/>
      <c r="C294" s="477" t="s">
        <v>688</v>
      </c>
      <c r="D294" s="477"/>
      <c r="E294" s="477"/>
      <c r="F294" s="477"/>
      <c r="G294" s="477"/>
      <c r="H294" s="477"/>
      <c r="I294" s="483"/>
      <c r="J294" s="543">
        <f>J138-I138</f>
        <v>0</v>
      </c>
      <c r="K294" s="543">
        <f>K138-J138</f>
        <v>0</v>
      </c>
      <c r="L294" s="543">
        <f>L138-J138</f>
        <v>0</v>
      </c>
      <c r="M294" s="543">
        <f>M138-K138</f>
        <v>0</v>
      </c>
    </row>
    <row r="295" spans="1:13" ht="20.149999999999999" customHeight="1">
      <c r="A295" s="476"/>
      <c r="B295" s="477"/>
      <c r="C295" s="477" t="s">
        <v>689</v>
      </c>
      <c r="D295" s="477"/>
      <c r="E295" s="477"/>
      <c r="F295" s="477"/>
      <c r="G295" s="477"/>
      <c r="H295" s="477"/>
      <c r="I295" s="483"/>
      <c r="J295" s="543">
        <f>(J147-J129-J124)-(I147-I129-I124)</f>
        <v>148.18999999999997</v>
      </c>
      <c r="K295" s="543">
        <f>(K147-K129-K124)-(J147-J129-J124)</f>
        <v>-135.96272637671211</v>
      </c>
      <c r="L295" s="543">
        <f>(L147-L129-L124)-(J147-J129-J124)</f>
        <v>-98.708331147152848</v>
      </c>
      <c r="M295" s="543">
        <f>(M147-M129-M124)-(K147-K129-K124)</f>
        <v>149.18909859632822</v>
      </c>
    </row>
    <row r="296" spans="1:13" ht="20.149999999999999" customHeight="1">
      <c r="A296" s="476"/>
      <c r="B296" s="477"/>
      <c r="C296" s="477"/>
      <c r="D296" s="477"/>
      <c r="E296" s="477"/>
      <c r="F296" s="506" t="s">
        <v>0</v>
      </c>
      <c r="G296" s="506"/>
      <c r="H296" s="506"/>
      <c r="I296" s="507"/>
      <c r="J296" s="547">
        <f>SUM(J289:J295)</f>
        <v>328.16999999999996</v>
      </c>
      <c r="K296" s="547">
        <f>SUM(K289:K295)</f>
        <v>-36.546045833233848</v>
      </c>
      <c r="L296" s="547">
        <f>SUM(L289:L295)</f>
        <v>246.69725678762975</v>
      </c>
      <c r="M296" s="547">
        <f>SUM(M289:M295)</f>
        <v>503.21416104198033</v>
      </c>
    </row>
    <row r="297" spans="1:13" ht="20.149999999999999" customHeight="1">
      <c r="A297" s="476"/>
      <c r="B297" s="477"/>
      <c r="C297" s="534"/>
      <c r="D297" s="667" t="s">
        <v>690</v>
      </c>
      <c r="E297" s="667"/>
      <c r="F297" s="667"/>
      <c r="G297" s="667"/>
      <c r="H297" s="667"/>
      <c r="I297" s="667"/>
      <c r="J297" s="667"/>
      <c r="K297" s="667"/>
      <c r="L297" s="667"/>
      <c r="M297" s="656"/>
    </row>
    <row r="298" spans="1:13" ht="20.149999999999999" customHeight="1">
      <c r="A298" s="476"/>
      <c r="B298" s="477"/>
      <c r="C298" s="534"/>
      <c r="D298" s="534"/>
      <c r="E298" s="534"/>
      <c r="F298" s="534"/>
      <c r="G298" s="534"/>
      <c r="H298" s="534"/>
      <c r="I298" s="551"/>
      <c r="J298" s="509" t="str">
        <f>+J4</f>
        <v>March 31'23</v>
      </c>
      <c r="K298" s="509" t="str">
        <f>+K4</f>
        <v>March 31'24</v>
      </c>
      <c r="L298" s="509" t="str">
        <f>+L4</f>
        <v>March 31'25</v>
      </c>
      <c r="M298" s="509" t="str">
        <f>+M4</f>
        <v>March 31'26</v>
      </c>
    </row>
    <row r="299" spans="1:13" ht="20.149999999999999" customHeight="1">
      <c r="A299" s="476"/>
      <c r="B299" s="477"/>
      <c r="C299" s="488" t="str">
        <f>C236</f>
        <v>M/s Eco Green Breeders Private Limited</v>
      </c>
      <c r="D299" s="477"/>
      <c r="E299" s="477"/>
      <c r="F299" s="477"/>
      <c r="G299" s="477"/>
      <c r="H299" s="477"/>
      <c r="I299" s="483"/>
      <c r="J299" s="483"/>
      <c r="K299" s="483"/>
      <c r="L299" s="484"/>
      <c r="M299" s="484"/>
    </row>
    <row r="300" spans="1:13" ht="20.149999999999999" customHeight="1">
      <c r="A300" s="476"/>
      <c r="B300" s="477"/>
      <c r="C300" s="658" t="s">
        <v>85</v>
      </c>
      <c r="D300" s="658"/>
      <c r="E300" s="658"/>
      <c r="F300" s="658"/>
      <c r="G300" s="473"/>
      <c r="H300" s="473"/>
      <c r="I300" s="507"/>
      <c r="J300" s="507"/>
      <c r="K300" s="507"/>
      <c r="L300" s="507"/>
      <c r="M300" s="507"/>
    </row>
    <row r="301" spans="1:13" ht="20.149999999999999" customHeight="1">
      <c r="A301" s="476"/>
      <c r="B301" s="477"/>
      <c r="C301" s="477" t="s">
        <v>691</v>
      </c>
      <c r="D301" s="477"/>
      <c r="E301" s="477"/>
      <c r="F301" s="477"/>
      <c r="G301" s="477"/>
      <c r="H301" s="477"/>
      <c r="I301" s="483"/>
      <c r="J301" s="543">
        <f>J13</f>
        <v>55.939999999999991</v>
      </c>
      <c r="K301" s="543">
        <f>K13</f>
        <v>687.33361086956529</v>
      </c>
      <c r="L301" s="543">
        <f>L13</f>
        <v>1431.5283559782606</v>
      </c>
      <c r="M301" s="543">
        <f>M13</f>
        <v>2511.8899065217388</v>
      </c>
    </row>
    <row r="302" spans="1:13" ht="20.149999999999999" customHeight="1">
      <c r="A302" s="476"/>
      <c r="B302" s="477"/>
      <c r="C302" s="477" t="s">
        <v>288</v>
      </c>
      <c r="D302" s="477"/>
      <c r="E302" s="477"/>
      <c r="F302" s="477"/>
      <c r="G302" s="477"/>
      <c r="H302" s="477"/>
      <c r="I302" s="483"/>
      <c r="J302" s="543">
        <f>J54</f>
        <v>6.3599999999999834</v>
      </c>
      <c r="K302" s="543">
        <f>K54</f>
        <v>50.564173566858834</v>
      </c>
      <c r="L302" s="543">
        <f>L54</f>
        <v>188.5270188483008</v>
      </c>
      <c r="M302" s="543">
        <f>M54</f>
        <v>346.18060117546008</v>
      </c>
    </row>
    <row r="303" spans="1:13" ht="20.149999999999999" customHeight="1">
      <c r="A303" s="476"/>
      <c r="B303" s="477"/>
      <c r="C303" s="466" t="s">
        <v>692</v>
      </c>
      <c r="J303" s="543">
        <f>J56</f>
        <v>0.96999999999998288</v>
      </c>
      <c r="K303" s="543">
        <f>K56</f>
        <v>42.979547531830008</v>
      </c>
      <c r="L303" s="543">
        <f>L56</f>
        <v>160.24796602105562</v>
      </c>
      <c r="M303" s="543">
        <f>M56</f>
        <v>294.2535109991411</v>
      </c>
    </row>
    <row r="304" spans="1:13" ht="20.149999999999999" customHeight="1">
      <c r="A304" s="476"/>
      <c r="B304" s="477"/>
      <c r="C304" s="477" t="s">
        <v>693</v>
      </c>
      <c r="D304" s="477"/>
      <c r="E304" s="477"/>
      <c r="F304" s="477"/>
      <c r="G304" s="477"/>
      <c r="H304" s="477"/>
      <c r="I304" s="483"/>
      <c r="J304" s="543">
        <f>J56/J13*100</f>
        <v>1.7340007150518109</v>
      </c>
      <c r="K304" s="543">
        <f>K56/K13*100</f>
        <v>6.2530839249160763</v>
      </c>
      <c r="L304" s="543">
        <f>L56/L13*100</f>
        <v>11.194187341929899</v>
      </c>
      <c r="M304" s="543">
        <f>M56/M13*100</f>
        <v>11.714427062872332</v>
      </c>
    </row>
    <row r="305" spans="1:13" ht="20.149999999999999" customHeight="1">
      <c r="A305" s="476"/>
      <c r="B305" s="477"/>
      <c r="C305" s="466" t="s">
        <v>694</v>
      </c>
      <c r="J305" s="543">
        <f>J102</f>
        <v>1</v>
      </c>
      <c r="K305" s="543">
        <f>K102</f>
        <v>235</v>
      </c>
      <c r="L305" s="543">
        <f>L102</f>
        <v>305</v>
      </c>
      <c r="M305" s="543">
        <f>M102</f>
        <v>305</v>
      </c>
    </row>
    <row r="306" spans="1:13" ht="20.149999999999999" customHeight="1">
      <c r="A306" s="476"/>
      <c r="B306" s="477"/>
      <c r="C306" s="477" t="s">
        <v>695</v>
      </c>
      <c r="D306" s="477"/>
      <c r="E306" s="477"/>
      <c r="F306" s="477"/>
      <c r="G306" s="477"/>
      <c r="H306" s="477"/>
      <c r="I306" s="483"/>
      <c r="J306" s="543">
        <f>J171</f>
        <v>317.07999999999993</v>
      </c>
      <c r="K306" s="543">
        <f>K171</f>
        <v>457.05954753182993</v>
      </c>
      <c r="L306" s="543">
        <f>L171</f>
        <v>869.05686697421925</v>
      </c>
      <c r="M306" s="543">
        <f>M171</f>
        <v>1103.3103779733601</v>
      </c>
    </row>
    <row r="307" spans="1:13" ht="20.149999999999999" customHeight="1">
      <c r="A307" s="476"/>
      <c r="B307" s="477"/>
      <c r="C307" s="466" t="s">
        <v>696</v>
      </c>
      <c r="J307" s="543">
        <f>J99/J171</f>
        <v>2.8702851015516591</v>
      </c>
      <c r="K307" s="543">
        <f>K99/K171</f>
        <v>2.2015959995871421</v>
      </c>
      <c r="L307" s="543">
        <f>L99/L171</f>
        <v>2.0490149558590613</v>
      </c>
      <c r="M307" s="543">
        <f>M99/M171</f>
        <v>1.5104924020925647</v>
      </c>
    </row>
    <row r="308" spans="1:13" ht="20.149999999999999" customHeight="1">
      <c r="A308" s="476"/>
      <c r="B308" s="477"/>
      <c r="C308" s="477" t="s">
        <v>697</v>
      </c>
      <c r="D308" s="477"/>
      <c r="E308" s="477"/>
      <c r="F308" s="477"/>
      <c r="G308" s="477"/>
      <c r="H308" s="477"/>
      <c r="I308" s="483"/>
      <c r="J308" s="543">
        <f>J173</f>
        <v>2.2766366696434703</v>
      </c>
      <c r="K308" s="543">
        <f>K173</f>
        <v>1.2191490094952964</v>
      </c>
      <c r="L308" s="543">
        <f>L173</f>
        <v>1.2053127021342747</v>
      </c>
      <c r="M308" s="543">
        <f>M173</f>
        <v>1.4207004810424604</v>
      </c>
    </row>
    <row r="309" spans="1:13" ht="20.149999999999999" customHeight="1">
      <c r="A309" s="476"/>
      <c r="B309" s="477"/>
      <c r="C309" s="466" t="s">
        <v>698</v>
      </c>
      <c r="J309" s="543">
        <f>J302/J169*100</f>
        <v>0.698755204957205</v>
      </c>
      <c r="K309" s="543">
        <f>K302/K169*100</f>
        <v>3.940106350728473</v>
      </c>
      <c r="L309" s="543">
        <f>L302/L169*100</f>
        <v>8.239752320778603</v>
      </c>
      <c r="M309" s="543">
        <f>M302/M169*100</f>
        <v>14.375656100622136</v>
      </c>
    </row>
    <row r="310" spans="1:13" ht="20.149999999999999" customHeight="1">
      <c r="A310" s="476"/>
      <c r="B310" s="477"/>
      <c r="C310" s="477" t="s">
        <v>699</v>
      </c>
      <c r="D310" s="477"/>
      <c r="E310" s="477"/>
      <c r="F310" s="477"/>
      <c r="G310" s="477"/>
      <c r="H310" s="477"/>
      <c r="I310" s="483"/>
      <c r="J310" s="543">
        <f>J13/J169</f>
        <v>6.1459695228468773E-2</v>
      </c>
      <c r="K310" s="543">
        <f>K13/K169</f>
        <v>0.53559018851072759</v>
      </c>
      <c r="L310" s="543">
        <f>L13/L169</f>
        <v>0.62566305697134639</v>
      </c>
      <c r="M310" s="543">
        <f>M13/M169</f>
        <v>1.0430990453008711</v>
      </c>
    </row>
    <row r="311" spans="1:13" ht="20.149999999999999" customHeight="1">
      <c r="A311" s="476"/>
      <c r="B311" s="477"/>
      <c r="C311" s="466" t="s">
        <v>700</v>
      </c>
      <c r="J311" s="543">
        <f>J40/J13*100</f>
        <v>79.478012155881331</v>
      </c>
      <c r="K311" s="543">
        <f>K40/K13*100</f>
        <v>83.426654572771028</v>
      </c>
      <c r="L311" s="543">
        <f>L40/L13*100</f>
        <v>82.576173373956649</v>
      </c>
      <c r="M311" s="543">
        <f>M40/M13*100</f>
        <v>81.33191779677334</v>
      </c>
    </row>
    <row r="312" spans="1:13" ht="20.149999999999999" customHeight="1">
      <c r="A312" s="476"/>
      <c r="B312" s="477"/>
      <c r="C312" s="477" t="s">
        <v>701</v>
      </c>
      <c r="D312" s="477"/>
      <c r="E312" s="477"/>
      <c r="F312" s="477"/>
      <c r="G312" s="477"/>
      <c r="H312" s="477"/>
      <c r="I312" s="483"/>
      <c r="J312" s="543">
        <f>J322/J169*100</f>
        <v>4.6484799876948779</v>
      </c>
      <c r="K312" s="543">
        <f>K322/K169*100</f>
        <v>10.129975226776388</v>
      </c>
      <c r="L312" s="543">
        <f>L322/L169*100</f>
        <v>10.052368330843947</v>
      </c>
      <c r="M312" s="543">
        <f>M322/M169*100</f>
        <v>9.5510866059974759</v>
      </c>
    </row>
    <row r="313" spans="1:13" ht="20.149999999999999" customHeight="1">
      <c r="A313" s="476"/>
      <c r="B313" s="477"/>
      <c r="C313" s="466" t="s">
        <v>702</v>
      </c>
      <c r="J313" s="543">
        <f>(J124+J126+J127+J128+J129)/J13*365</f>
        <v>1174.3421523060424</v>
      </c>
      <c r="K313" s="543">
        <f>(K124+K126+K127+K128+K129)/K13*365</f>
        <v>148.37014629526416</v>
      </c>
      <c r="L313" s="543">
        <f>(L124+L126+L127+L128+L129)/L13*365</f>
        <v>133.95874332167807</v>
      </c>
      <c r="M313" s="543">
        <f>(M124+M126+M127+M128+M129)/M13*365</f>
        <v>92.041826988818201</v>
      </c>
    </row>
    <row r="314" spans="1:13" ht="20.149999999999999" customHeight="1">
      <c r="A314" s="476"/>
      <c r="B314" s="477"/>
      <c r="C314" s="477" t="s">
        <v>59</v>
      </c>
      <c r="D314" s="477"/>
      <c r="E314" s="477"/>
      <c r="F314" s="477"/>
      <c r="G314" s="477"/>
      <c r="H314" s="477"/>
      <c r="I314" s="483"/>
      <c r="J314" s="543">
        <f>J27</f>
        <v>5.35</v>
      </c>
      <c r="K314" s="543">
        <f>K27</f>
        <v>30.323935215750002</v>
      </c>
      <c r="L314" s="543">
        <f>L27</f>
        <v>55.295415782133333</v>
      </c>
      <c r="M314" s="543">
        <f>M27</f>
        <v>99.885922265533338</v>
      </c>
    </row>
    <row r="315" spans="1:13" ht="20.149999999999999" customHeight="1">
      <c r="A315" s="476"/>
      <c r="B315" s="477"/>
      <c r="C315" s="466" t="s">
        <v>703</v>
      </c>
      <c r="J315" s="543">
        <f>J27+J56</f>
        <v>6.3199999999999825</v>
      </c>
      <c r="K315" s="543">
        <f>K27+K56</f>
        <v>73.303482747580006</v>
      </c>
      <c r="L315" s="543">
        <f>L27+L56</f>
        <v>215.54338180318894</v>
      </c>
      <c r="M315" s="543">
        <f>M27+M56</f>
        <v>394.13943326467444</v>
      </c>
    </row>
    <row r="316" spans="1:13" ht="20.149999999999999" customHeight="1">
      <c r="A316" s="476"/>
      <c r="B316" s="477"/>
      <c r="C316" s="477" t="s">
        <v>704</v>
      </c>
      <c r="D316" s="477"/>
      <c r="E316" s="477"/>
      <c r="F316" s="477"/>
      <c r="G316" s="477"/>
      <c r="H316" s="477"/>
      <c r="I316" s="483"/>
      <c r="J316" s="509">
        <f>J172</f>
        <v>185.83999999999992</v>
      </c>
      <c r="K316" s="509">
        <f>K172</f>
        <v>53.003482747579824</v>
      </c>
      <c r="L316" s="509">
        <f>L172</f>
        <v>98.474663715340967</v>
      </c>
      <c r="M316" s="509">
        <f>M172</f>
        <v>236.32838269430113</v>
      </c>
    </row>
    <row r="317" spans="1:13" ht="20.149999999999999" customHeight="1">
      <c r="A317" s="476"/>
      <c r="B317" s="477"/>
      <c r="C317" s="466" t="s">
        <v>705</v>
      </c>
      <c r="E317" s="466" t="s">
        <v>706</v>
      </c>
      <c r="J317" s="543">
        <f>J323/J169*100</f>
        <v>1.8490644810424179</v>
      </c>
      <c r="K317" s="543">
        <f>K323/K169*100</f>
        <v>11.239449759422349</v>
      </c>
      <c r="L317" s="543">
        <f>L323/L169*100</f>
        <v>13.318183267724526</v>
      </c>
      <c r="M317" s="543">
        <f>M323/M169*100</f>
        <v>23.620567829340605</v>
      </c>
    </row>
    <row r="318" spans="1:13" ht="20.149999999999999" customHeight="1">
      <c r="A318" s="552" t="s">
        <v>707</v>
      </c>
      <c r="B318" s="477"/>
      <c r="C318" s="477"/>
      <c r="D318" s="477"/>
      <c r="E318" s="477"/>
      <c r="F318" s="477"/>
      <c r="G318" s="477"/>
      <c r="H318" s="477"/>
      <c r="I318" s="483"/>
      <c r="J318" s="553">
        <f>J323/J42</f>
        <v>3.2871093749999973</v>
      </c>
      <c r="K318" s="554">
        <f>K323/K42</f>
        <v>2.2768446532377085</v>
      </c>
      <c r="L318" s="554">
        <f>L323/L42</f>
        <v>5.0036524569857823</v>
      </c>
      <c r="M318" s="554">
        <f>M323/M42</f>
        <v>4.6342075089394958</v>
      </c>
    </row>
    <row r="319" spans="1:13" ht="20.149999999999999" customHeight="1">
      <c r="A319" s="476"/>
      <c r="B319" s="477"/>
      <c r="C319" s="466" t="s">
        <v>708</v>
      </c>
      <c r="J319" s="543">
        <f>J54/J13*100</f>
        <v>11.369324276009984</v>
      </c>
      <c r="K319" s="543">
        <f>K54/K13*100</f>
        <v>7.3565693234306782</v>
      </c>
      <c r="L319" s="543">
        <f>L54/L13*100</f>
        <v>13.169632166976356</v>
      </c>
      <c r="M319" s="543">
        <f>M54/M13*100</f>
        <v>13.78167889749686</v>
      </c>
    </row>
    <row r="320" spans="1:13" ht="20.149999999999999" customHeight="1">
      <c r="A320" s="476"/>
      <c r="B320" s="477"/>
      <c r="C320" s="477" t="s">
        <v>709</v>
      </c>
      <c r="D320" s="477"/>
      <c r="E320" s="477"/>
      <c r="F320" s="477"/>
      <c r="G320" s="477"/>
      <c r="H320" s="477"/>
      <c r="I320" s="483"/>
      <c r="J320" s="543">
        <f>J40</f>
        <v>44.460000000000008</v>
      </c>
      <c r="K320" s="543">
        <f>K40</f>
        <v>573.41943730270646</v>
      </c>
      <c r="L320" s="543">
        <f>L40</f>
        <v>1182.1013371299598</v>
      </c>
      <c r="M320" s="543">
        <f>M40</f>
        <v>2042.9682339177073</v>
      </c>
    </row>
    <row r="321" spans="1:15" ht="20.149999999999999" customHeight="1">
      <c r="A321" s="476"/>
      <c r="B321" s="477"/>
      <c r="C321" s="466" t="s">
        <v>710</v>
      </c>
      <c r="J321" s="543">
        <f>J129+J124+J126+J127+J128</f>
        <v>179.98</v>
      </c>
      <c r="K321" s="543">
        <f>K129+K124+K126+K127+K128</f>
        <v>279.39668054347828</v>
      </c>
      <c r="L321" s="543">
        <f>L129+L124+L126+L127+L128</f>
        <v>525.38558793478251</v>
      </c>
      <c r="M321" s="543">
        <f>M129+M124+M126+M127+M128</f>
        <v>633.42174298913039</v>
      </c>
    </row>
    <row r="322" spans="1:15" ht="20.149999999999999" customHeight="1">
      <c r="A322" s="476"/>
      <c r="B322" s="477"/>
      <c r="C322" s="477" t="s">
        <v>711</v>
      </c>
      <c r="D322" s="477"/>
      <c r="E322" s="477"/>
      <c r="F322" s="477"/>
      <c r="G322" s="477"/>
      <c r="H322" s="477"/>
      <c r="I322" s="483"/>
      <c r="J322" s="543">
        <f>J73</f>
        <v>42.31</v>
      </c>
      <c r="K322" s="543">
        <f>K73</f>
        <v>130</v>
      </c>
      <c r="L322" s="543">
        <f>L73</f>
        <v>230</v>
      </c>
      <c r="M322" s="543">
        <f>M73</f>
        <v>230</v>
      </c>
    </row>
    <row r="323" spans="1:15" ht="20.149999999999999" customHeight="1">
      <c r="A323" s="476"/>
      <c r="B323" s="477"/>
      <c r="C323" s="530" t="s">
        <v>712</v>
      </c>
      <c r="D323" s="530"/>
      <c r="E323" s="530"/>
      <c r="F323" s="530"/>
      <c r="G323" s="530"/>
      <c r="H323" s="530"/>
      <c r="I323" s="531"/>
      <c r="J323" s="543">
        <f>J27+J42+J54</f>
        <v>16.829999999999984</v>
      </c>
      <c r="K323" s="543">
        <f>K27+K42+K54</f>
        <v>144.23810878260883</v>
      </c>
      <c r="L323" s="543">
        <f>L27+L42+L54</f>
        <v>304.72243463043412</v>
      </c>
      <c r="M323" s="543">
        <f>M27+M42+M54</f>
        <v>568.80759486956481</v>
      </c>
      <c r="N323" s="495"/>
      <c r="O323" s="495"/>
    </row>
    <row r="324" spans="1:15" ht="20.149999999999999" customHeight="1">
      <c r="A324" s="476"/>
      <c r="B324" s="477"/>
      <c r="C324" s="488"/>
      <c r="D324" s="477"/>
      <c r="E324" s="477"/>
      <c r="F324" s="477"/>
      <c r="G324" s="477"/>
      <c r="H324" s="477"/>
      <c r="I324" s="483"/>
      <c r="J324" s="483"/>
      <c r="K324" s="483"/>
      <c r="L324" s="483"/>
      <c r="M324" s="483"/>
    </row>
    <row r="325" spans="1:15" ht="20.149999999999999" customHeight="1">
      <c r="A325" s="655" t="s">
        <v>713</v>
      </c>
      <c r="B325" s="656"/>
      <c r="C325" s="656"/>
      <c r="D325" s="656"/>
      <c r="E325" s="656"/>
      <c r="F325" s="656"/>
      <c r="G325" s="656"/>
      <c r="H325" s="656"/>
      <c r="I325" s="656"/>
      <c r="J325" s="656"/>
      <c r="K325" s="656"/>
      <c r="L325" s="656"/>
      <c r="M325" s="656"/>
    </row>
    <row r="326" spans="1:15" ht="20.149999999999999" customHeight="1">
      <c r="A326" s="476"/>
      <c r="B326" s="477"/>
      <c r="C326" s="477"/>
      <c r="D326" s="477"/>
      <c r="E326" s="477"/>
      <c r="F326" s="477"/>
      <c r="G326" s="534"/>
      <c r="H326" s="534"/>
      <c r="I326" s="551"/>
      <c r="J326" s="551"/>
      <c r="K326" s="551"/>
      <c r="L326" s="551"/>
      <c r="M326" s="551"/>
    </row>
    <row r="327" spans="1:15" ht="20.149999999999999" customHeight="1">
      <c r="A327" s="476"/>
      <c r="B327" s="477"/>
      <c r="C327" s="488" t="str">
        <f>+C299</f>
        <v>M/s Eco Green Breeders Private Limited</v>
      </c>
      <c r="D327" s="477"/>
      <c r="E327" s="477"/>
      <c r="F327" s="477"/>
      <c r="G327" s="477"/>
      <c r="H327" s="477"/>
      <c r="I327" s="483"/>
      <c r="J327" s="509" t="str">
        <f>J298</f>
        <v>March 31'23</v>
      </c>
      <c r="K327" s="509" t="str">
        <f>K298</f>
        <v>March 31'24</v>
      </c>
      <c r="L327" s="509" t="str">
        <f>L298</f>
        <v>March 31'25</v>
      </c>
      <c r="M327" s="509" t="str">
        <f>M298</f>
        <v>March 31'26</v>
      </c>
    </row>
    <row r="328" spans="1:15" ht="20.149999999999999" customHeight="1">
      <c r="A328" s="476"/>
      <c r="B328" s="477"/>
      <c r="C328" s="477" t="s">
        <v>631</v>
      </c>
      <c r="D328" s="477"/>
      <c r="E328" s="477"/>
      <c r="F328" s="477"/>
      <c r="G328" s="477"/>
      <c r="H328" s="477"/>
      <c r="I328" s="483"/>
      <c r="J328" s="509">
        <f>J147</f>
        <v>331.40999999999997</v>
      </c>
      <c r="K328" s="509">
        <f>K147</f>
        <v>294.86395416676612</v>
      </c>
      <c r="L328" s="509">
        <f>L147</f>
        <v>578.10725678762969</v>
      </c>
      <c r="M328" s="509">
        <f>M147</f>
        <v>798.07811520874645</v>
      </c>
    </row>
    <row r="329" spans="1:15" ht="20.149999999999999" customHeight="1">
      <c r="A329" s="476"/>
      <c r="B329" s="477"/>
      <c r="C329" s="477" t="s">
        <v>632</v>
      </c>
      <c r="D329" s="477"/>
      <c r="E329" s="477"/>
      <c r="F329" s="477"/>
      <c r="J329" s="509">
        <f>J88</f>
        <v>103.26</v>
      </c>
      <c r="K329" s="509">
        <f>K88</f>
        <v>111.86047141918606</v>
      </c>
      <c r="L329" s="509">
        <f>L88</f>
        <v>249.63259307228904</v>
      </c>
      <c r="M329" s="509">
        <f>M88</f>
        <v>331.74973251444567</v>
      </c>
    </row>
    <row r="330" spans="1:15" ht="20.149999999999999" customHeight="1">
      <c r="A330" s="476"/>
      <c r="B330" s="477"/>
      <c r="C330" s="477" t="s">
        <v>633</v>
      </c>
      <c r="D330" s="477"/>
      <c r="E330" s="477"/>
      <c r="F330" s="477"/>
      <c r="G330" s="477"/>
      <c r="H330" s="477"/>
      <c r="I330" s="483"/>
      <c r="J330" s="509">
        <f>J328-J329</f>
        <v>228.14999999999998</v>
      </c>
      <c r="K330" s="509">
        <f>K328-K329</f>
        <v>183.00348274758005</v>
      </c>
      <c r="L330" s="509">
        <f>L328-L329</f>
        <v>328.47466371534063</v>
      </c>
      <c r="M330" s="509">
        <f>M328-M329</f>
        <v>466.32838269430079</v>
      </c>
    </row>
    <row r="331" spans="1:15" ht="20.149999999999999" customHeight="1">
      <c r="A331" s="476"/>
      <c r="B331" s="477"/>
      <c r="C331" s="477" t="s">
        <v>714</v>
      </c>
      <c r="D331" s="477"/>
      <c r="E331" s="477"/>
      <c r="F331" s="477"/>
      <c r="J331" s="509">
        <f>J172</f>
        <v>185.83999999999992</v>
      </c>
      <c r="K331" s="509">
        <f>K172</f>
        <v>53.003482747579824</v>
      </c>
      <c r="L331" s="509">
        <f>L172</f>
        <v>98.474663715340967</v>
      </c>
      <c r="M331" s="509">
        <f>M172</f>
        <v>236.32838269430113</v>
      </c>
    </row>
    <row r="332" spans="1:15" ht="20.149999999999999" customHeight="1">
      <c r="A332" s="476"/>
      <c r="B332" s="477"/>
      <c r="C332" s="477" t="s">
        <v>715</v>
      </c>
      <c r="D332" s="477"/>
      <c r="E332" s="477"/>
      <c r="F332" s="477"/>
      <c r="G332" s="477"/>
      <c r="H332" s="477"/>
      <c r="I332" s="483"/>
      <c r="J332" s="528">
        <f>J330-J331</f>
        <v>42.310000000000059</v>
      </c>
      <c r="K332" s="528">
        <f>K330-K331</f>
        <v>130.00000000000023</v>
      </c>
      <c r="L332" s="528">
        <f>L330-L331</f>
        <v>229.99999999999966</v>
      </c>
      <c r="M332" s="528">
        <f>M330-M331</f>
        <v>229.99999999999966</v>
      </c>
    </row>
    <row r="333" spans="1:15" ht="20.149999999999999" customHeight="1">
      <c r="A333" s="476"/>
      <c r="B333" s="477"/>
      <c r="C333" s="477" t="s">
        <v>716</v>
      </c>
      <c r="D333" s="477"/>
      <c r="E333" s="477"/>
      <c r="F333" s="477"/>
      <c r="J333" s="509">
        <f>J172/J147*100</f>
        <v>56.075555957876929</v>
      </c>
      <c r="K333" s="509">
        <f>K172/K147*100</f>
        <v>17.975572123543678</v>
      </c>
      <c r="L333" s="509">
        <f>L172/L147*100</f>
        <v>17.033978134530852</v>
      </c>
      <c r="M333" s="509">
        <f>M172/M147*100</f>
        <v>29.612186851219036</v>
      </c>
    </row>
    <row r="334" spans="1:15" ht="20.149999999999999" customHeight="1">
      <c r="A334" s="476"/>
      <c r="B334" s="477"/>
      <c r="C334" s="477" t="s">
        <v>717</v>
      </c>
      <c r="D334" s="477"/>
      <c r="E334" s="477"/>
      <c r="F334" s="477"/>
      <c r="G334" s="477"/>
      <c r="H334" s="477"/>
      <c r="I334" s="483"/>
      <c r="J334" s="509">
        <f>J329/J147*100</f>
        <v>31.157780392866847</v>
      </c>
      <c r="K334" s="509">
        <f>K329/K147*100</f>
        <v>37.936299041801888</v>
      </c>
      <c r="L334" s="509">
        <f>L329/L147*100</f>
        <v>43.18101704161667</v>
      </c>
      <c r="M334" s="509">
        <f>M329/M147*100</f>
        <v>41.568579089237737</v>
      </c>
    </row>
    <row r="335" spans="1:15" ht="20.149999999999999" customHeight="1">
      <c r="A335" s="476"/>
      <c r="B335" s="477"/>
      <c r="C335" s="477" t="s">
        <v>718</v>
      </c>
      <c r="D335" s="477"/>
      <c r="E335" s="477"/>
      <c r="F335" s="477"/>
      <c r="J335" s="509">
        <f>J75/J147*100</f>
        <v>8.8772215684499578</v>
      </c>
      <c r="K335" s="509">
        <f>K75/K147*100</f>
        <v>10.946012534954679</v>
      </c>
      <c r="L335" s="509">
        <f>L75/L147*100</f>
        <v>11.465365794217023</v>
      </c>
      <c r="M335" s="509">
        <f>M75/M147*100</f>
        <v>12.973282449341554</v>
      </c>
    </row>
    <row r="336" spans="1:15" ht="20.149999999999999" customHeight="1">
      <c r="A336" s="476"/>
      <c r="B336" s="477"/>
      <c r="C336" s="477" t="s">
        <v>719</v>
      </c>
      <c r="D336" s="477"/>
      <c r="E336" s="477"/>
      <c r="F336" s="477"/>
      <c r="G336" s="477"/>
      <c r="H336" s="477"/>
      <c r="I336" s="483"/>
      <c r="J336" s="509">
        <f>J332/J147*100</f>
        <v>12.766663649256227</v>
      </c>
      <c r="K336" s="509">
        <f>K332/K147*100</f>
        <v>44.088128834654427</v>
      </c>
      <c r="L336" s="509">
        <f>L332/L147*100</f>
        <v>39.785004823852468</v>
      </c>
      <c r="M336" s="509">
        <f>M332/M147*100</f>
        <v>28.819234059543223</v>
      </c>
    </row>
    <row r="337" spans="1:13" ht="20.149999999999999" customHeight="1">
      <c r="A337" s="476"/>
      <c r="B337" s="477"/>
      <c r="C337" s="477" t="s">
        <v>720</v>
      </c>
      <c r="D337" s="477"/>
      <c r="E337" s="477"/>
      <c r="F337" s="477"/>
      <c r="J337" s="509">
        <f>J129/J13*365</f>
        <v>1076.7956739363606</v>
      </c>
      <c r="K337" s="509">
        <f>K129/K13*365</f>
        <v>130.12014629526416</v>
      </c>
      <c r="L337" s="509">
        <f>L129/L13*365</f>
        <v>113.4702985949562</v>
      </c>
      <c r="M337" s="509">
        <f>M129/M13*365</f>
        <v>64.666826988818201</v>
      </c>
    </row>
    <row r="338" spans="1:13" ht="20.149999999999999" customHeight="1">
      <c r="A338" s="476"/>
      <c r="B338" s="477"/>
      <c r="C338" s="477" t="s">
        <v>721</v>
      </c>
      <c r="D338" s="477"/>
      <c r="E338" s="477"/>
      <c r="F338" s="477"/>
      <c r="G338" s="477"/>
      <c r="H338" s="477"/>
      <c r="I338" s="483"/>
      <c r="J338" s="509">
        <f>(J124+J126+J127+J128)/J10*365</f>
        <v>97.546478369681807</v>
      </c>
      <c r="K338" s="509">
        <f>(K124+K126+K127+K128)/K10*365</f>
        <v>18.25</v>
      </c>
      <c r="L338" s="509">
        <f>(L124+L126+L127+L128)/L10*365</f>
        <v>20.488444726721887</v>
      </c>
      <c r="M338" s="509">
        <f>(M124+M126+M127+M128)/M10*365</f>
        <v>27.375</v>
      </c>
    </row>
    <row r="339" spans="1:13" ht="20.149999999999999" customHeight="1">
      <c r="A339" s="476"/>
      <c r="B339" s="477"/>
      <c r="C339" s="477" t="s">
        <v>722</v>
      </c>
      <c r="D339" s="477"/>
      <c r="E339" s="477"/>
      <c r="F339" s="477"/>
      <c r="J339" s="509">
        <f>J252</f>
        <v>0</v>
      </c>
      <c r="K339" s="509">
        <f>K252</f>
        <v>0</v>
      </c>
      <c r="L339" s="509">
        <f>L252</f>
        <v>0</v>
      </c>
      <c r="M339" s="509">
        <f>M252</f>
        <v>0</v>
      </c>
    </row>
    <row r="340" spans="1:13" ht="20.149999999999999" customHeight="1">
      <c r="A340" s="476"/>
      <c r="B340" s="477"/>
      <c r="C340" s="477"/>
      <c r="D340" s="477"/>
      <c r="E340" s="477"/>
      <c r="F340" s="477"/>
      <c r="G340" s="477"/>
      <c r="H340" s="477"/>
      <c r="I340" s="483"/>
      <c r="J340" s="509"/>
      <c r="K340" s="509"/>
      <c r="L340" s="509"/>
      <c r="M340" s="509"/>
    </row>
    <row r="341" spans="1:13" ht="20.149999999999999" customHeight="1">
      <c r="A341" s="476"/>
      <c r="B341" s="477"/>
      <c r="C341" s="477" t="s">
        <v>691</v>
      </c>
      <c r="D341" s="477"/>
      <c r="E341" s="477"/>
      <c r="F341" s="477"/>
      <c r="I341" s="509">
        <f>I13</f>
        <v>0</v>
      </c>
      <c r="J341" s="509">
        <f>J13</f>
        <v>55.939999999999991</v>
      </c>
      <c r="K341" s="509">
        <f t="shared" ref="K341:M341" si="7">K13</f>
        <v>687.33361086956529</v>
      </c>
      <c r="L341" s="509">
        <f t="shared" si="7"/>
        <v>1431.5283559782606</v>
      </c>
      <c r="M341" s="509">
        <f t="shared" si="7"/>
        <v>2511.8899065217388</v>
      </c>
    </row>
    <row r="342" spans="1:13" ht="20.149999999999999" customHeight="1">
      <c r="A342" s="476"/>
      <c r="B342" s="477"/>
      <c r="C342" s="477" t="s">
        <v>723</v>
      </c>
      <c r="D342" s="477"/>
      <c r="E342" s="477"/>
      <c r="F342" s="477"/>
      <c r="G342" s="477"/>
      <c r="H342" s="477"/>
      <c r="I342" s="509">
        <f>I10</f>
        <v>0</v>
      </c>
      <c r="J342" s="509">
        <f>J10</f>
        <v>55.939999999999991</v>
      </c>
      <c r="K342" s="509">
        <f t="shared" ref="K342:M342" si="8">K10</f>
        <v>687.33361086956529</v>
      </c>
      <c r="L342" s="509">
        <f t="shared" si="8"/>
        <v>1431.5283559782606</v>
      </c>
      <c r="M342" s="509">
        <f t="shared" si="8"/>
        <v>2511.8899065217388</v>
      </c>
    </row>
    <row r="343" spans="1:13" ht="20.149999999999999" customHeight="1">
      <c r="A343" s="476"/>
      <c r="B343" s="477"/>
      <c r="C343" s="477" t="s">
        <v>724</v>
      </c>
      <c r="D343" s="477"/>
      <c r="E343" s="477"/>
      <c r="F343" s="477"/>
      <c r="I343" s="509">
        <f>I124+I126+I127+I128</f>
        <v>0</v>
      </c>
      <c r="J343" s="509">
        <f>J124+J126+J127+J128</f>
        <v>14.95</v>
      </c>
      <c r="K343" s="509">
        <f t="shared" ref="K343:M343" si="9">K124+K126+K127+K128</f>
        <v>34.36668054347826</v>
      </c>
      <c r="L343" s="509">
        <f t="shared" si="9"/>
        <v>80.355587934782591</v>
      </c>
      <c r="M343" s="509">
        <f t="shared" si="9"/>
        <v>188.39174298913039</v>
      </c>
    </row>
    <row r="344" spans="1:13" ht="20.149999999999999" customHeight="1">
      <c r="A344" s="476"/>
      <c r="B344" s="477"/>
      <c r="C344" s="477" t="s">
        <v>546</v>
      </c>
      <c r="D344" s="477"/>
      <c r="E344" s="477"/>
      <c r="F344" s="477"/>
      <c r="G344" s="477"/>
      <c r="H344" s="477"/>
      <c r="I344" s="483"/>
      <c r="J344" s="509">
        <f>J129</f>
        <v>165.03</v>
      </c>
      <c r="K344" s="509">
        <f>K129</f>
        <v>245.03</v>
      </c>
      <c r="L344" s="509">
        <f>L129</f>
        <v>445.03</v>
      </c>
      <c r="M344" s="509">
        <f>M129</f>
        <v>445.03</v>
      </c>
    </row>
    <row r="345" spans="1:13" ht="20.149999999999999" customHeight="1">
      <c r="A345" s="476"/>
      <c r="B345" s="477"/>
      <c r="C345" s="477" t="s">
        <v>725</v>
      </c>
      <c r="D345" s="477"/>
      <c r="E345" s="477"/>
      <c r="F345" s="477"/>
      <c r="J345" s="509">
        <f>J17+J35-J33</f>
        <v>170.73000000000002</v>
      </c>
      <c r="K345" s="509">
        <f>K17+K35-K33</f>
        <v>464.85445217391299</v>
      </c>
      <c r="L345" s="509">
        <f>L17+L35-L33</f>
        <v>1008.8323586956524</v>
      </c>
      <c r="M345" s="509">
        <f>M17+M35-M33</f>
        <v>1462.0992913043481</v>
      </c>
    </row>
    <row r="346" spans="1:13" ht="20.149999999999999" customHeight="1">
      <c r="A346" s="476"/>
      <c r="B346" s="477"/>
      <c r="C346" s="477" t="s">
        <v>726</v>
      </c>
      <c r="D346" s="477"/>
      <c r="E346" s="477"/>
      <c r="F346" s="477"/>
      <c r="G346" s="477"/>
      <c r="H346" s="477"/>
      <c r="I346" s="483"/>
      <c r="J346" s="509">
        <f>J75</f>
        <v>29.42</v>
      </c>
      <c r="K346" s="509">
        <f>K75</f>
        <v>32.275845384157236</v>
      </c>
      <c r="L346" s="509">
        <f>L75</f>
        <v>66.282111673615262</v>
      </c>
      <c r="M346" s="509">
        <f>M75</f>
        <v>103.53692805241215</v>
      </c>
    </row>
    <row r="354" spans="6:13">
      <c r="F354" s="555"/>
      <c r="G354" s="555"/>
      <c r="H354" s="555"/>
      <c r="I354" s="556"/>
      <c r="J354" s="556"/>
      <c r="K354" s="556"/>
      <c r="L354" s="556"/>
      <c r="M354" s="556"/>
    </row>
    <row r="355" spans="6:13">
      <c r="F355" s="557"/>
      <c r="G355" s="557"/>
      <c r="H355" s="557"/>
      <c r="I355" s="557"/>
      <c r="J355" s="557"/>
      <c r="K355" s="557"/>
      <c r="L355" s="557"/>
      <c r="M355" s="557"/>
    </row>
  </sheetData>
  <mergeCells count="30">
    <mergeCell ref="A61:M61"/>
    <mergeCell ref="A1:M1"/>
    <mergeCell ref="A2:M2"/>
    <mergeCell ref="A3:M3"/>
    <mergeCell ref="B5:E5"/>
    <mergeCell ref="A60:M60"/>
    <mergeCell ref="A179:M179"/>
    <mergeCell ref="I63:M63"/>
    <mergeCell ref="C65:E65"/>
    <mergeCell ref="B102:E102"/>
    <mergeCell ref="A112:M112"/>
    <mergeCell ref="A113:M113"/>
    <mergeCell ref="I114:M114"/>
    <mergeCell ref="C116:E116"/>
    <mergeCell ref="B141:F141"/>
    <mergeCell ref="C169:F169"/>
    <mergeCell ref="C170:F170"/>
    <mergeCell ref="A178:M178"/>
    <mergeCell ref="A325:M325"/>
    <mergeCell ref="I181:M181"/>
    <mergeCell ref="B182:E182"/>
    <mergeCell ref="C219:F219"/>
    <mergeCell ref="A233:M233"/>
    <mergeCell ref="A234:M234"/>
    <mergeCell ref="I236:M236"/>
    <mergeCell ref="A254:M254"/>
    <mergeCell ref="A255:M255"/>
    <mergeCell ref="B287:F287"/>
    <mergeCell ref="D297:M297"/>
    <mergeCell ref="C300:F300"/>
  </mergeCells>
  <printOptions horizontalCentered="1" verticalCentered="1"/>
  <pageMargins left="0.25" right="0.05" top="0" bottom="0" header="0.21" footer="0.17"/>
  <pageSetup paperSize="9" scale="61" orientation="portrait" r:id="rId1"/>
  <headerFooter alignWithMargins="0"/>
  <rowBreaks count="5" manualBreakCount="5">
    <brk id="59" max="16383" man="1"/>
    <brk id="111" max="16383" man="1"/>
    <brk id="177" max="16383" man="1"/>
    <brk id="232" max="16383" man="1"/>
    <brk id="2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21"/>
  <sheetViews>
    <sheetView showGridLines="0" showWhiteSpace="0" view="pageBreakPreview" zoomScaleSheetLayoutView="100" zoomScalePageLayoutView="60" workbookViewId="0">
      <selection activeCell="F10" sqref="F10"/>
    </sheetView>
  </sheetViews>
  <sheetFormatPr defaultColWidth="9.1796875" defaultRowHeight="15.5"/>
  <cols>
    <col min="1" max="1" width="9.1796875" style="1"/>
    <col min="2" max="2" width="28.81640625" style="1" customWidth="1"/>
    <col min="3" max="3" width="14.54296875" style="1" customWidth="1"/>
    <col min="4" max="4" width="10.7265625" style="1" customWidth="1"/>
    <col min="5" max="5" width="11.81640625" style="1" customWidth="1"/>
    <col min="6" max="6" width="19.453125" style="1" bestFit="1" customWidth="1"/>
    <col min="7" max="7" width="13.81640625" style="1" customWidth="1"/>
    <col min="8" max="8" width="11.26953125" style="1" customWidth="1"/>
    <col min="9" max="9" width="11.453125" style="1" customWidth="1"/>
    <col min="10" max="10" width="15.7265625" style="1" customWidth="1"/>
    <col min="11" max="13" width="14" style="1" bestFit="1" customWidth="1"/>
    <col min="14" max="14" width="9.81640625" style="1" bestFit="1" customWidth="1"/>
    <col min="15" max="15" width="10.1796875" style="1" bestFit="1" customWidth="1"/>
    <col min="16" max="16" width="9.1796875" style="1"/>
    <col min="17" max="17" width="10.1796875" style="1" bestFit="1" customWidth="1"/>
    <col min="18" max="16384" width="9.1796875" style="1"/>
  </cols>
  <sheetData>
    <row r="1" spans="1:13" ht="23.5">
      <c r="A1" s="35" t="s">
        <v>353</v>
      </c>
    </row>
    <row r="3" spans="1:13" ht="20">
      <c r="A3" s="571" t="s">
        <v>182</v>
      </c>
      <c r="B3" s="571"/>
      <c r="C3" s="571"/>
      <c r="D3" s="571"/>
      <c r="E3" s="571"/>
      <c r="F3" s="571"/>
      <c r="G3" s="571"/>
      <c r="H3" s="571"/>
      <c r="I3" s="571"/>
      <c r="J3" s="571"/>
    </row>
    <row r="4" spans="1:13" ht="48" customHeight="1">
      <c r="A4" s="333" t="s">
        <v>4</v>
      </c>
      <c r="B4" s="565" t="s">
        <v>1</v>
      </c>
      <c r="C4" s="566"/>
      <c r="D4" s="566"/>
      <c r="E4" s="567"/>
      <c r="F4" s="347" t="s">
        <v>181</v>
      </c>
      <c r="G4" s="347" t="s">
        <v>183</v>
      </c>
      <c r="H4" s="335" t="s">
        <v>101</v>
      </c>
      <c r="I4" s="335" t="s">
        <v>18</v>
      </c>
      <c r="J4" s="333" t="s">
        <v>184</v>
      </c>
      <c r="M4" s="4"/>
    </row>
    <row r="5" spans="1:13">
      <c r="A5" s="6">
        <v>1</v>
      </c>
      <c r="B5" s="581" t="s">
        <v>5</v>
      </c>
      <c r="C5" s="582"/>
      <c r="D5" s="582"/>
      <c r="E5" s="583"/>
      <c r="F5" s="275">
        <f>+'Project Cost &amp; Capital Expendit'!H5</f>
        <v>0</v>
      </c>
      <c r="G5" s="302">
        <v>1</v>
      </c>
      <c r="H5" s="276">
        <f>+F5*G5</f>
        <v>0</v>
      </c>
      <c r="I5" s="276">
        <f>+F5-H5</f>
        <v>0</v>
      </c>
      <c r="J5" s="277" t="e">
        <f>+I5/F5</f>
        <v>#DIV/0!</v>
      </c>
    </row>
    <row r="6" spans="1:13">
      <c r="A6" s="6">
        <f>+A5+1</f>
        <v>2</v>
      </c>
      <c r="B6" s="581" t="s">
        <v>108</v>
      </c>
      <c r="C6" s="582"/>
      <c r="D6" s="582"/>
      <c r="E6" s="583"/>
      <c r="F6" s="275">
        <f>+'Project Cost &amp; Capital Expendit'!H6</f>
        <v>588.59999999999991</v>
      </c>
      <c r="G6" s="302">
        <v>0.35802</v>
      </c>
      <c r="H6" s="276">
        <f>+F6*G6</f>
        <v>210.73057199999997</v>
      </c>
      <c r="I6" s="276">
        <f t="shared" ref="I6:I8" si="0">+F6-H6</f>
        <v>377.86942799999997</v>
      </c>
      <c r="J6" s="277">
        <f t="shared" ref="J6:J8" si="1">+I6/F6</f>
        <v>0.64198</v>
      </c>
      <c r="M6" s="21"/>
    </row>
    <row r="7" spans="1:13">
      <c r="A7" s="6">
        <f>+A6+1</f>
        <v>3</v>
      </c>
      <c r="B7" s="581" t="s">
        <v>109</v>
      </c>
      <c r="C7" s="582"/>
      <c r="D7" s="582"/>
      <c r="E7" s="583"/>
      <c r="F7" s="275">
        <f>+'Project Cost &amp; Capital Expendit'!H7</f>
        <v>362.84179235199997</v>
      </c>
      <c r="G7" s="302">
        <v>0.25</v>
      </c>
      <c r="H7" s="276">
        <f>+F7*G7</f>
        <v>90.710448087999993</v>
      </c>
      <c r="I7" s="276">
        <f t="shared" si="0"/>
        <v>272.13134426399995</v>
      </c>
      <c r="J7" s="277">
        <f t="shared" si="1"/>
        <v>0.74999999999999989</v>
      </c>
      <c r="L7" s="4"/>
      <c r="M7" s="4"/>
    </row>
    <row r="8" spans="1:13">
      <c r="A8" s="6">
        <v>4</v>
      </c>
      <c r="B8" s="81" t="s">
        <v>205</v>
      </c>
      <c r="C8" s="82"/>
      <c r="D8" s="82"/>
      <c r="E8" s="83"/>
      <c r="F8" s="275">
        <f>+'Project Cost &amp; Capital Expendit'!H8</f>
        <v>45.308333333333337</v>
      </c>
      <c r="G8" s="302">
        <v>1</v>
      </c>
      <c r="H8" s="276">
        <f t="shared" ref="H8" si="2">+F8*G8</f>
        <v>45.308333333333337</v>
      </c>
      <c r="I8" s="276">
        <f t="shared" si="0"/>
        <v>0</v>
      </c>
      <c r="J8" s="277">
        <f t="shared" si="1"/>
        <v>0</v>
      </c>
      <c r="L8" s="4"/>
      <c r="M8" s="4"/>
    </row>
    <row r="9" spans="1:13">
      <c r="A9" s="6">
        <v>5</v>
      </c>
      <c r="B9" s="81" t="s">
        <v>415</v>
      </c>
      <c r="C9" s="82"/>
      <c r="D9" s="82"/>
      <c r="E9" s="83"/>
      <c r="F9" s="275">
        <v>35</v>
      </c>
      <c r="G9" s="302">
        <v>1</v>
      </c>
      <c r="H9" s="276">
        <f t="shared" ref="H9" si="3">+F9*G9</f>
        <v>35</v>
      </c>
      <c r="I9" s="276">
        <f t="shared" ref="I9" si="4">+F9-H9</f>
        <v>0</v>
      </c>
      <c r="J9" s="277">
        <f t="shared" ref="J9" si="5">+I9/F9</f>
        <v>0</v>
      </c>
      <c r="L9" s="115"/>
      <c r="M9" s="4"/>
    </row>
    <row r="10" spans="1:13">
      <c r="A10" s="337"/>
      <c r="B10" s="575" t="s">
        <v>6</v>
      </c>
      <c r="C10" s="576"/>
      <c r="D10" s="576"/>
      <c r="E10" s="577"/>
      <c r="F10" s="346">
        <f>+SUM(F5:F9)</f>
        <v>1031.7501256853332</v>
      </c>
      <c r="G10" s="338"/>
      <c r="H10" s="346">
        <f>+SUM(H5:H9)</f>
        <v>381.7493534213333</v>
      </c>
      <c r="I10" s="346">
        <f>+SUM(I5:I9)</f>
        <v>650.00077226399992</v>
      </c>
      <c r="J10" s="339"/>
      <c r="K10" s="4"/>
      <c r="L10" s="4"/>
    </row>
    <row r="12" spans="1:13">
      <c r="I12" s="115"/>
    </row>
    <row r="13" spans="1:13">
      <c r="I13" s="115"/>
    </row>
    <row r="14" spans="1:13">
      <c r="I14" s="115"/>
    </row>
    <row r="16" spans="1:13">
      <c r="I16" s="115"/>
    </row>
    <row r="17" spans="9:9">
      <c r="I17" s="115"/>
    </row>
    <row r="21" spans="9:9">
      <c r="I21" s="115"/>
    </row>
  </sheetData>
  <mergeCells count="6">
    <mergeCell ref="B10:E10"/>
    <mergeCell ref="A3:J3"/>
    <mergeCell ref="B4:E4"/>
    <mergeCell ref="B5:E5"/>
    <mergeCell ref="B6:E6"/>
    <mergeCell ref="B7:E7"/>
  </mergeCells>
  <pageMargins left="0.7" right="0.7" top="0.75" bottom="0.75" header="0.3" footer="0.3"/>
  <pageSetup scale="83" orientation="landscape" r:id="rId1"/>
  <headerFooter>
    <oddHeader>&amp;C&amp;"Book Antiqua,Bold"&amp;13</oddHeader>
    <oddFooter>&amp;C&amp;"-,Bold"&amp;12Prepared by JNR Corporate Advisory Services Private Limited, Contact details: jnr4india@gmail.com, +918602267779, +918962611446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804-9660-4FF2-A3DA-D23A65D29B51}">
  <sheetPr>
    <tabColor rgb="FF92D050"/>
  </sheetPr>
  <dimension ref="A1:S51"/>
  <sheetViews>
    <sheetView showGridLines="0" view="pageBreakPreview" topLeftCell="A12" zoomScale="98" zoomScaleSheetLayoutView="98" workbookViewId="0">
      <selection activeCell="E39" sqref="E39"/>
    </sheetView>
  </sheetViews>
  <sheetFormatPr defaultColWidth="9.1796875" defaultRowHeight="15.5"/>
  <cols>
    <col min="1" max="1" width="38.7265625" style="1" bestFit="1" customWidth="1"/>
    <col min="2" max="11" width="12.7265625" style="1" customWidth="1"/>
    <col min="12" max="16384" width="9.1796875" style="1"/>
  </cols>
  <sheetData>
    <row r="1" spans="1:11" ht="25.5">
      <c r="A1" s="591" t="s">
        <v>381</v>
      </c>
      <c r="B1" s="591"/>
      <c r="C1" s="591"/>
      <c r="D1" s="591"/>
      <c r="E1" s="591"/>
      <c r="F1" s="591"/>
      <c r="G1" s="591"/>
      <c r="H1" s="591"/>
      <c r="I1" s="591"/>
      <c r="J1" s="591"/>
      <c r="K1" s="591"/>
    </row>
    <row r="2" spans="1:11">
      <c r="A2" s="589" t="s">
        <v>102</v>
      </c>
      <c r="B2" s="590"/>
      <c r="C2" s="590"/>
      <c r="D2" s="590"/>
      <c r="E2" s="590"/>
      <c r="F2" s="590"/>
      <c r="G2" s="590"/>
      <c r="H2" s="590"/>
      <c r="I2" s="590"/>
      <c r="J2" s="590"/>
      <c r="K2" s="590"/>
    </row>
    <row r="3" spans="1:11">
      <c r="A3" s="349"/>
      <c r="B3" s="350" t="s">
        <v>39</v>
      </c>
      <c r="C3" s="350" t="s">
        <v>39</v>
      </c>
      <c r="D3" s="350" t="s">
        <v>39</v>
      </c>
      <c r="E3" s="350" t="s">
        <v>39</v>
      </c>
      <c r="F3" s="350" t="s">
        <v>39</v>
      </c>
      <c r="G3" s="350" t="s">
        <v>39</v>
      </c>
      <c r="H3" s="350" t="s">
        <v>39</v>
      </c>
      <c r="I3" s="350" t="s">
        <v>39</v>
      </c>
      <c r="J3" s="350" t="s">
        <v>39</v>
      </c>
      <c r="K3" s="350" t="s">
        <v>39</v>
      </c>
    </row>
    <row r="4" spans="1:11">
      <c r="A4" s="351" t="s">
        <v>1</v>
      </c>
      <c r="B4" s="352">
        <v>44651</v>
      </c>
      <c r="C4" s="352">
        <v>45016</v>
      </c>
      <c r="D4" s="352">
        <v>45382</v>
      </c>
      <c r="E4" s="352">
        <v>45747</v>
      </c>
      <c r="F4" s="352">
        <v>46112</v>
      </c>
      <c r="G4" s="352">
        <v>46477</v>
      </c>
      <c r="H4" s="352">
        <v>46843</v>
      </c>
      <c r="I4" s="352">
        <v>47208</v>
      </c>
      <c r="J4" s="352">
        <v>47573</v>
      </c>
      <c r="K4" s="352">
        <v>47938</v>
      </c>
    </row>
    <row r="5" spans="1:11" ht="18.5">
      <c r="A5" s="104" t="s">
        <v>68</v>
      </c>
      <c r="B5" s="105"/>
      <c r="C5" s="105"/>
      <c r="D5" s="105"/>
      <c r="E5" s="105"/>
      <c r="F5" s="105"/>
      <c r="G5" s="105"/>
      <c r="H5" s="105"/>
      <c r="I5" s="105"/>
      <c r="J5" s="105"/>
      <c r="K5" s="105"/>
    </row>
    <row r="6" spans="1:11" ht="17">
      <c r="A6" s="106" t="s">
        <v>123</v>
      </c>
      <c r="B6" s="107">
        <v>0</v>
      </c>
      <c r="C6" s="107">
        <v>0</v>
      </c>
      <c r="D6" s="107">
        <v>50</v>
      </c>
      <c r="E6" s="107">
        <v>120</v>
      </c>
      <c r="F6" s="107">
        <v>120</v>
      </c>
      <c r="G6" s="107">
        <v>120</v>
      </c>
      <c r="H6" s="107">
        <v>120</v>
      </c>
      <c r="I6" s="107">
        <v>120</v>
      </c>
      <c r="J6" s="107">
        <v>120</v>
      </c>
      <c r="K6" s="107">
        <v>120</v>
      </c>
    </row>
    <row r="7" spans="1:11" ht="17">
      <c r="A7" s="106" t="s">
        <v>124</v>
      </c>
      <c r="B7" s="107">
        <v>0</v>
      </c>
      <c r="C7" s="107">
        <v>0</v>
      </c>
      <c r="D7" s="107">
        <f t="shared" ref="D7:I7" si="0">+D38</f>
        <v>0</v>
      </c>
      <c r="E7" s="107">
        <f t="shared" si="0"/>
        <v>26.711067279341062</v>
      </c>
      <c r="F7" s="107">
        <f t="shared" si="0"/>
        <v>151.25759025105276</v>
      </c>
      <c r="G7" s="107">
        <f t="shared" si="0"/>
        <v>280.96411322276447</v>
      </c>
      <c r="H7" s="107">
        <f t="shared" si="0"/>
        <v>433.83645594719377</v>
      </c>
      <c r="I7" s="107">
        <f t="shared" si="0"/>
        <v>581.36268391890553</v>
      </c>
      <c r="J7" s="107">
        <f t="shared" ref="J7:K7" si="1">+J38</f>
        <v>751.19883644224774</v>
      </c>
      <c r="K7" s="107">
        <f t="shared" si="1"/>
        <v>911.44101441395946</v>
      </c>
    </row>
    <row r="8" spans="1:11" ht="17">
      <c r="A8" s="106" t="s">
        <v>418</v>
      </c>
      <c r="B8" s="107">
        <v>0</v>
      </c>
      <c r="C8" s="107">
        <v>0</v>
      </c>
      <c r="D8" s="107">
        <v>0</v>
      </c>
      <c r="E8" s="107">
        <f>+'Funding Requirement'!B10</f>
        <v>80</v>
      </c>
      <c r="F8" s="107">
        <f>+$E$8</f>
        <v>80</v>
      </c>
      <c r="G8" s="107">
        <f t="shared" ref="G8:K8" si="2">+$E$8</f>
        <v>80</v>
      </c>
      <c r="H8" s="107">
        <f t="shared" si="2"/>
        <v>80</v>
      </c>
      <c r="I8" s="107">
        <f t="shared" si="2"/>
        <v>80</v>
      </c>
      <c r="J8" s="107">
        <f t="shared" si="2"/>
        <v>80</v>
      </c>
      <c r="K8" s="107">
        <f t="shared" si="2"/>
        <v>80</v>
      </c>
    </row>
    <row r="9" spans="1:11" ht="17">
      <c r="A9" s="106" t="s">
        <v>125</v>
      </c>
      <c r="B9" s="107">
        <v>0</v>
      </c>
      <c r="C9" s="107">
        <v>0</v>
      </c>
      <c r="D9" s="107">
        <v>0</v>
      </c>
      <c r="E9" s="107">
        <f>+'Funding Requirement'!B9</f>
        <v>181.74935342133324</v>
      </c>
      <c r="F9" s="107">
        <f>+$E$9</f>
        <v>181.74935342133324</v>
      </c>
      <c r="G9" s="107">
        <f t="shared" ref="G9:K9" si="3">+$E$9</f>
        <v>181.74935342133324</v>
      </c>
      <c r="H9" s="107">
        <f t="shared" si="3"/>
        <v>181.74935342133324</v>
      </c>
      <c r="I9" s="107">
        <f t="shared" si="3"/>
        <v>181.74935342133324</v>
      </c>
      <c r="J9" s="107">
        <f t="shared" si="3"/>
        <v>181.74935342133324</v>
      </c>
      <c r="K9" s="107">
        <f t="shared" si="3"/>
        <v>181.74935342133324</v>
      </c>
    </row>
    <row r="10" spans="1:11" ht="17">
      <c r="A10" s="106" t="s">
        <v>351</v>
      </c>
      <c r="B10" s="107">
        <v>0</v>
      </c>
      <c r="C10" s="107">
        <v>0</v>
      </c>
      <c r="D10" s="107">
        <v>0</v>
      </c>
      <c r="E10" s="107">
        <v>35</v>
      </c>
      <c r="F10" s="107">
        <v>35</v>
      </c>
      <c r="G10" s="107">
        <v>35</v>
      </c>
      <c r="H10" s="107">
        <v>35</v>
      </c>
      <c r="I10" s="107">
        <v>35</v>
      </c>
      <c r="J10" s="107">
        <v>35</v>
      </c>
      <c r="K10" s="107">
        <v>35</v>
      </c>
    </row>
    <row r="11" spans="1:11" ht="17">
      <c r="A11" s="106" t="s">
        <v>232</v>
      </c>
      <c r="B11" s="107">
        <v>0</v>
      </c>
      <c r="C11" s="107">
        <v>0</v>
      </c>
      <c r="D11" s="107">
        <f>+'TL 2'!H72-D16</f>
        <v>175</v>
      </c>
      <c r="E11" s="107">
        <f>+'TL 2'!H86-E16</f>
        <v>554</v>
      </c>
      <c r="F11" s="107">
        <f>+'TL 2'!H100-F16</f>
        <v>458</v>
      </c>
      <c r="G11" s="107">
        <f>+'TL 2'!H114-G16</f>
        <v>326</v>
      </c>
      <c r="H11" s="107">
        <f>+'TL 2'!H128-H16</f>
        <v>194</v>
      </c>
      <c r="I11" s="107">
        <f>+'TL 2'!H142-I16</f>
        <v>62</v>
      </c>
      <c r="J11" s="107">
        <f>+'TL 2'!H156-J16</f>
        <v>0</v>
      </c>
      <c r="K11" s="107">
        <f>+'TL 2'!J142-K16</f>
        <v>0</v>
      </c>
    </row>
    <row r="12" spans="1:11" ht="18.5">
      <c r="A12" s="104" t="s">
        <v>69</v>
      </c>
      <c r="B12" s="107"/>
      <c r="C12" s="107"/>
      <c r="D12" s="107"/>
      <c r="E12" s="107"/>
      <c r="F12" s="107"/>
      <c r="G12" s="107"/>
      <c r="H12" s="107"/>
      <c r="I12" s="107"/>
      <c r="J12" s="107"/>
      <c r="K12" s="107"/>
    </row>
    <row r="13" spans="1:11" ht="17">
      <c r="A13" s="106"/>
      <c r="B13" s="107"/>
      <c r="C13" s="107"/>
      <c r="D13" s="107"/>
      <c r="E13" s="107"/>
      <c r="F13" s="107"/>
      <c r="G13" s="107"/>
      <c r="H13" s="107"/>
      <c r="I13" s="107"/>
      <c r="J13" s="107"/>
      <c r="K13" s="107"/>
    </row>
    <row r="14" spans="1:11" ht="17">
      <c r="A14" s="106" t="s">
        <v>128</v>
      </c>
      <c r="B14" s="107">
        <v>0</v>
      </c>
      <c r="C14" s="107">
        <v>0</v>
      </c>
      <c r="D14" s="107">
        <v>0</v>
      </c>
      <c r="E14" s="107">
        <v>100</v>
      </c>
      <c r="F14" s="107">
        <v>100</v>
      </c>
      <c r="G14" s="107">
        <v>100</v>
      </c>
      <c r="H14" s="107">
        <v>100</v>
      </c>
      <c r="I14" s="107">
        <v>100</v>
      </c>
      <c r="J14" s="107">
        <v>100</v>
      </c>
      <c r="K14" s="107">
        <v>100</v>
      </c>
    </row>
    <row r="15" spans="1:11" ht="17">
      <c r="A15" s="106" t="s">
        <v>70</v>
      </c>
      <c r="B15" s="107">
        <v>0</v>
      </c>
      <c r="C15" s="107">
        <v>0</v>
      </c>
      <c r="D15" s="107">
        <v>0</v>
      </c>
      <c r="E15" s="107">
        <f>+SUM('Production, Revenue &amp; Profi P2'!G215:G219)/365*30</f>
        <v>14.321840798094103</v>
      </c>
      <c r="F15" s="107">
        <f>+SUM('Production, Revenue &amp; Profi P2'!H215:H219)/365*30</f>
        <v>51.576657176891004</v>
      </c>
      <c r="G15" s="107">
        <f>+SUM('Production, Revenue &amp; Profi P2'!I215:I219)/365*30</f>
        <v>51.576657176891004</v>
      </c>
      <c r="H15" s="107">
        <f>+SUM('Production, Revenue &amp; Profi P2'!J215:J219)/365*30</f>
        <v>52.17343338296606</v>
      </c>
      <c r="I15" s="107">
        <f>+SUM('Production, Revenue &amp; Profi P2'!K215:K219)/365*30</f>
        <v>51.193043478260869</v>
      </c>
      <c r="J15" s="107">
        <f>+SUM('Production, Revenue &amp; Profi P2'!L215:L219)/365*30</f>
        <v>52.071340738534857</v>
      </c>
      <c r="K15" s="107">
        <f>+SUM('Production, Revenue &amp; Profi P2'!M215:M219)/365*30</f>
        <v>51.193043478260869</v>
      </c>
    </row>
    <row r="16" spans="1:11" ht="17">
      <c r="A16" s="106" t="s">
        <v>71</v>
      </c>
      <c r="B16" s="107">
        <v>0</v>
      </c>
      <c r="C16" s="107">
        <v>0</v>
      </c>
      <c r="D16" s="107">
        <f>+'Project PL  P2'!E31</f>
        <v>0</v>
      </c>
      <c r="E16" s="107">
        <f>+'Project PL  P2'!F31</f>
        <v>96</v>
      </c>
      <c r="F16" s="107">
        <f>+'Project PL  P2'!G31</f>
        <v>96</v>
      </c>
      <c r="G16" s="107">
        <f>+'Project PL  P2'!H31</f>
        <v>132</v>
      </c>
      <c r="H16" s="107">
        <f>+'Project PL  P2'!I31</f>
        <v>132</v>
      </c>
      <c r="I16" s="107">
        <f>+'Project PL  P2'!J31</f>
        <v>132</v>
      </c>
      <c r="J16" s="107">
        <f>+'Project PL  P2'!K31</f>
        <v>62</v>
      </c>
      <c r="K16" s="107">
        <f>+'Project PL  P2'!L31</f>
        <v>0</v>
      </c>
    </row>
    <row r="17" spans="1:19" ht="17">
      <c r="A17" s="106" t="s">
        <v>350</v>
      </c>
      <c r="B17" s="107">
        <v>0</v>
      </c>
      <c r="C17" s="107">
        <v>0</v>
      </c>
      <c r="D17" s="107">
        <v>0</v>
      </c>
      <c r="E17" s="107">
        <f>+'Project PL  P2'!E26</f>
        <v>4.7137177551778349</v>
      </c>
      <c r="F17" s="107">
        <f>+'Project PL  P2'!F26</f>
        <v>27.27291581853736</v>
      </c>
      <c r="G17" s="107">
        <f>+'Project PL  P2'!G26</f>
        <v>28.712915818537361</v>
      </c>
      <c r="H17" s="107">
        <f>+'Project PL  P2'!H26</f>
        <v>33.383354598428703</v>
      </c>
      <c r="I17" s="107">
        <f>+'Project PL  P2'!I26</f>
        <v>33.080510818537363</v>
      </c>
      <c r="J17" s="107">
        <f>+'Project PL  P2'!J26</f>
        <v>37.72220338647216</v>
      </c>
      <c r="K17" s="107">
        <f>+'Project PL  P2'!K26</f>
        <v>36.804260818537365</v>
      </c>
    </row>
    <row r="18" spans="1:19">
      <c r="A18" s="151" t="s">
        <v>103</v>
      </c>
      <c r="B18" s="109"/>
      <c r="C18" s="109"/>
      <c r="D18" s="109"/>
      <c r="E18" s="109"/>
      <c r="F18" s="109"/>
      <c r="G18" s="109"/>
      <c r="H18" s="109"/>
      <c r="I18" s="109"/>
      <c r="J18" s="109"/>
      <c r="K18" s="109"/>
    </row>
    <row r="19" spans="1:19">
      <c r="A19" s="351" t="s">
        <v>72</v>
      </c>
      <c r="B19" s="353">
        <f t="shared" ref="B19:I19" si="4">SUM(B6:B17)</f>
        <v>0</v>
      </c>
      <c r="C19" s="353">
        <f t="shared" si="4"/>
        <v>0</v>
      </c>
      <c r="D19" s="353">
        <f t="shared" si="4"/>
        <v>225</v>
      </c>
      <c r="E19" s="353">
        <f t="shared" si="4"/>
        <v>1212.4959792539462</v>
      </c>
      <c r="F19" s="353">
        <f t="shared" si="4"/>
        <v>1300.8565166678145</v>
      </c>
      <c r="G19" s="353">
        <f t="shared" si="4"/>
        <v>1336.0030396395262</v>
      </c>
      <c r="H19" s="353">
        <f t="shared" ref="H19" si="5">SUM(H6:H17)</f>
        <v>1362.1425973499217</v>
      </c>
      <c r="I19" s="353">
        <f t="shared" si="4"/>
        <v>1376.3855916370369</v>
      </c>
      <c r="J19" s="353">
        <f t="shared" ref="J19:K19" si="6">SUM(J6:J17)</f>
        <v>1419.7417339885878</v>
      </c>
      <c r="K19" s="353">
        <f t="shared" si="6"/>
        <v>1516.1876721320912</v>
      </c>
    </row>
    <row r="20" spans="1:19" ht="18.5">
      <c r="A20" s="104" t="s">
        <v>73</v>
      </c>
      <c r="B20" s="109"/>
      <c r="C20" s="109"/>
      <c r="D20" s="109"/>
      <c r="E20" s="109"/>
      <c r="F20" s="109"/>
      <c r="G20" s="109"/>
      <c r="H20" s="109"/>
      <c r="I20" s="109"/>
      <c r="J20" s="109"/>
      <c r="K20" s="109"/>
    </row>
    <row r="21" spans="1:19" ht="17">
      <c r="A21" s="106" t="s">
        <v>74</v>
      </c>
      <c r="B21" s="107">
        <v>0</v>
      </c>
      <c r="C21" s="107">
        <v>0</v>
      </c>
      <c r="D21" s="107">
        <f>+'Depreciation Chart - Eco Gr P2'!E43</f>
        <v>220</v>
      </c>
      <c r="E21" s="107">
        <f>+'Depreciation Chart - Eco Gr P2'!E56</f>
        <v>996.75012568533316</v>
      </c>
      <c r="F21" s="107">
        <f>+'Depreciation Chart - Eco Gr P2'!E69</f>
        <v>996.75012568533316</v>
      </c>
      <c r="G21" s="107">
        <f>+'Depreciation Chart - Eco Gr P2'!E82</f>
        <v>996.75012568533316</v>
      </c>
      <c r="H21" s="107">
        <f>+'Depreciation Chart - Eco Gr P2'!E95</f>
        <v>996.75012568533316</v>
      </c>
      <c r="I21" s="107">
        <f>+'Depreciation Chart - Eco Gr P2'!E108</f>
        <v>996.75012568533316</v>
      </c>
      <c r="J21" s="107">
        <f>+'Depreciation Chart - Eco Gr P2'!E121</f>
        <v>996.75012568533316</v>
      </c>
      <c r="K21" s="107">
        <f>+'Depreciation Chart - Eco Gr P2'!E134</f>
        <v>996.75012568533316</v>
      </c>
      <c r="L21" s="108"/>
    </row>
    <row r="22" spans="1:19" ht="17">
      <c r="A22" s="106" t="s">
        <v>75</v>
      </c>
      <c r="B22" s="111">
        <f>+'Depreciation Chart - Eco Gr P2'!I17</f>
        <v>0</v>
      </c>
      <c r="C22" s="111">
        <v>0</v>
      </c>
      <c r="D22" s="111">
        <f>-'Depreciation Chart - Eco Gr P2'!I43</f>
        <v>0</v>
      </c>
      <c r="E22" s="111">
        <f>-'Depreciation Chart - Eco Gr P2'!I56</f>
        <v>-14.863502161133333</v>
      </c>
      <c r="F22" s="111">
        <f>-'Depreciation Chart - Eco Gr P2'!I69</f>
        <v>-74.317510805666672</v>
      </c>
      <c r="G22" s="111">
        <f>-'Depreciation Chart - Eco Gr P2'!I82</f>
        <v>-133.7715194502</v>
      </c>
      <c r="H22" s="111">
        <f>-'Depreciation Chart - Eco Gr P2'!I95</f>
        <v>-193.22552809473331</v>
      </c>
      <c r="I22" s="111">
        <f>-'Depreciation Chart - Eco Gr P2'!I108</f>
        <v>-252.67953673926667</v>
      </c>
      <c r="J22" s="111">
        <f>-'Depreciation Chart - Eco Gr P2'!I121</f>
        <v>-312.13354538380003</v>
      </c>
      <c r="K22" s="111">
        <f>-'Depreciation Chart - Eco Gr P2'!I134</f>
        <v>-371.58755402833333</v>
      </c>
    </row>
    <row r="23" spans="1:19" ht="17">
      <c r="A23" s="106" t="s">
        <v>76</v>
      </c>
      <c r="B23" s="107">
        <f t="shared" ref="B23:I23" si="7">+B21+B22</f>
        <v>0</v>
      </c>
      <c r="C23" s="107">
        <f t="shared" si="7"/>
        <v>0</v>
      </c>
      <c r="D23" s="107">
        <f t="shared" si="7"/>
        <v>220</v>
      </c>
      <c r="E23" s="107">
        <f t="shared" si="7"/>
        <v>981.88662352419988</v>
      </c>
      <c r="F23" s="107">
        <f t="shared" si="7"/>
        <v>922.43261487966652</v>
      </c>
      <c r="G23" s="107">
        <f t="shared" si="7"/>
        <v>862.97860623513316</v>
      </c>
      <c r="H23" s="107">
        <f t="shared" si="7"/>
        <v>803.5245975905998</v>
      </c>
      <c r="I23" s="107">
        <f t="shared" si="7"/>
        <v>744.07058894606644</v>
      </c>
      <c r="J23" s="107">
        <f t="shared" ref="J23:K23" si="8">+J21+J22</f>
        <v>684.61658030153308</v>
      </c>
      <c r="K23" s="107">
        <f t="shared" si="8"/>
        <v>625.16257165699983</v>
      </c>
    </row>
    <row r="24" spans="1:19" ht="17">
      <c r="A24" s="106" t="s">
        <v>77</v>
      </c>
      <c r="B24" s="107">
        <v>0</v>
      </c>
      <c r="C24" s="107">
        <v>0</v>
      </c>
      <c r="D24" s="107">
        <v>0</v>
      </c>
      <c r="E24" s="107">
        <v>0</v>
      </c>
      <c r="F24" s="107">
        <v>0</v>
      </c>
      <c r="G24" s="107">
        <v>0</v>
      </c>
      <c r="H24" s="107">
        <v>0</v>
      </c>
      <c r="I24" s="107">
        <v>0</v>
      </c>
      <c r="J24" s="107">
        <v>0</v>
      </c>
      <c r="K24" s="107">
        <v>0</v>
      </c>
    </row>
    <row r="25" spans="1:19" ht="18.5">
      <c r="A25" s="104" t="s">
        <v>78</v>
      </c>
      <c r="B25" s="107"/>
      <c r="C25" s="107"/>
      <c r="D25" s="107"/>
      <c r="E25" s="107"/>
      <c r="F25" s="107"/>
      <c r="G25" s="107"/>
      <c r="H25" s="107"/>
      <c r="I25" s="107"/>
      <c r="J25" s="107"/>
      <c r="K25" s="107"/>
    </row>
    <row r="26" spans="1:19" ht="17">
      <c r="A26" s="106" t="s">
        <v>222</v>
      </c>
      <c r="B26" s="107">
        <v>0</v>
      </c>
      <c r="C26" s="107">
        <v>0</v>
      </c>
      <c r="D26" s="107">
        <v>0</v>
      </c>
      <c r="E26" s="107">
        <f>+D26-'Production, Revenue &amp; Profi P2'!G227</f>
        <v>200</v>
      </c>
      <c r="F26" s="107">
        <f>+E26-'Production, Revenue &amp; Profi P2'!H227</f>
        <v>200</v>
      </c>
      <c r="G26" s="107">
        <f>+F26-'Production, Revenue &amp; Profi P2'!I227</f>
        <v>200</v>
      </c>
      <c r="H26" s="107">
        <f>+G26-'Production, Revenue &amp; Profi P2'!J227</f>
        <v>200</v>
      </c>
      <c r="I26" s="107">
        <f>+H26-'Production, Revenue &amp; Profi P2'!K227</f>
        <v>200</v>
      </c>
      <c r="J26" s="107">
        <f>+I26-'Production, Revenue &amp; Profi P2'!L227</f>
        <v>200</v>
      </c>
      <c r="K26" s="107">
        <f>+J26-'Production, Revenue &amp; Profi P2'!M227</f>
        <v>200</v>
      </c>
      <c r="L26" s="308"/>
      <c r="M26" s="308"/>
      <c r="N26" s="308"/>
      <c r="O26" s="308"/>
      <c r="P26" s="308"/>
      <c r="Q26" s="308"/>
    </row>
    <row r="27" spans="1:19" ht="17">
      <c r="A27" s="106" t="s">
        <v>99</v>
      </c>
      <c r="B27" s="107">
        <v>0</v>
      </c>
      <c r="C27" s="107">
        <v>0</v>
      </c>
      <c r="D27" s="107">
        <v>0</v>
      </c>
      <c r="E27" s="107">
        <f>+'Project PL  P2'!E8/300*30</f>
        <v>17.558340271739134</v>
      </c>
      <c r="F27" s="107">
        <f>+'Project PL  P2'!F8/300*30</f>
        <v>125.59449532608693</v>
      </c>
      <c r="G27" s="107">
        <f>+'Project PL  P2'!G8/300*30</f>
        <v>125.59449532608693</v>
      </c>
      <c r="H27" s="107">
        <f>+'Project PL  P2'!H8/300*30</f>
        <v>128.43755203804346</v>
      </c>
      <c r="I27" s="107">
        <f>+'Project PL  P2'!I8/300*30</f>
        <v>125.59449532608693</v>
      </c>
      <c r="J27" s="107">
        <f>+'Project PL  P2'!J8/300*30</f>
        <v>128.43755203804346</v>
      </c>
      <c r="K27" s="107">
        <f>+'Project PL  P2'!K8/300*30</f>
        <v>125.59449532608693</v>
      </c>
    </row>
    <row r="28" spans="1:19" ht="17">
      <c r="A28" s="106" t="s">
        <v>229</v>
      </c>
      <c r="B28" s="107">
        <v>0</v>
      </c>
      <c r="C28" s="107">
        <v>0</v>
      </c>
      <c r="D28" s="107">
        <v>0</v>
      </c>
      <c r="E28" s="107">
        <v>10</v>
      </c>
      <c r="F28" s="107">
        <v>30</v>
      </c>
      <c r="G28" s="107">
        <v>50</v>
      </c>
      <c r="H28" s="107">
        <v>100</v>
      </c>
      <c r="I28" s="107">
        <v>150</v>
      </c>
      <c r="J28" s="107">
        <v>200</v>
      </c>
      <c r="K28" s="107">
        <v>250</v>
      </c>
    </row>
    <row r="29" spans="1:19" ht="17">
      <c r="A29" s="106" t="s">
        <v>79</v>
      </c>
      <c r="B29" s="107">
        <v>0</v>
      </c>
      <c r="C29" s="107">
        <v>0</v>
      </c>
      <c r="D29" s="107">
        <v>5</v>
      </c>
      <c r="E29" s="107">
        <v>3.051015458007214</v>
      </c>
      <c r="F29" s="107">
        <v>22.829406462061115</v>
      </c>
      <c r="G29" s="107">
        <v>97.429938078306122</v>
      </c>
      <c r="H29" s="107">
        <v>130.1804477212786</v>
      </c>
      <c r="I29" s="107">
        <v>156.72050736488359</v>
      </c>
      <c r="J29" s="107">
        <f>(175.850101649012+62)-31.1625000000006</f>
        <v>206.68760164901141</v>
      </c>
      <c r="K29" s="107">
        <v>315.43060514900435</v>
      </c>
      <c r="L29" s="107"/>
      <c r="M29" s="107"/>
      <c r="N29" s="107"/>
      <c r="O29" s="107"/>
      <c r="P29" s="107"/>
      <c r="Q29" s="107"/>
      <c r="R29" s="107"/>
    </row>
    <row r="30" spans="1:19" ht="17">
      <c r="A30" s="112"/>
      <c r="B30" s="109"/>
      <c r="C30" s="109"/>
      <c r="D30" s="109"/>
      <c r="E30" s="109"/>
      <c r="F30" s="109"/>
      <c r="G30" s="109"/>
      <c r="H30" s="109"/>
      <c r="I30" s="109"/>
      <c r="J30" s="109"/>
      <c r="K30" s="109"/>
    </row>
    <row r="31" spans="1:19">
      <c r="A31" s="351" t="s">
        <v>80</v>
      </c>
      <c r="B31" s="354">
        <f t="shared" ref="B31:I31" si="9">SUM(B23:B29)</f>
        <v>0</v>
      </c>
      <c r="C31" s="354">
        <f t="shared" si="9"/>
        <v>0</v>
      </c>
      <c r="D31" s="354">
        <f t="shared" si="9"/>
        <v>225</v>
      </c>
      <c r="E31" s="354">
        <f t="shared" si="9"/>
        <v>1212.4959792539462</v>
      </c>
      <c r="F31" s="354">
        <f t="shared" si="9"/>
        <v>1300.8565166678145</v>
      </c>
      <c r="G31" s="354">
        <f t="shared" si="9"/>
        <v>1336.0030396395262</v>
      </c>
      <c r="H31" s="354">
        <f t="shared" si="9"/>
        <v>1362.1425973499217</v>
      </c>
      <c r="I31" s="354">
        <f t="shared" si="9"/>
        <v>1376.3855916370369</v>
      </c>
      <c r="J31" s="354">
        <f t="shared" ref="J31:K31" si="10">SUM(J23:J29)</f>
        <v>1419.7417339885878</v>
      </c>
      <c r="K31" s="354">
        <f t="shared" si="10"/>
        <v>1516.1876721320912</v>
      </c>
      <c r="L31" s="309"/>
      <c r="M31" s="309"/>
      <c r="N31" s="309"/>
      <c r="O31" s="309"/>
      <c r="P31" s="309"/>
      <c r="Q31" s="309"/>
      <c r="R31" s="108"/>
      <c r="S31" s="108"/>
    </row>
    <row r="32" spans="1:19">
      <c r="A32" s="114"/>
      <c r="B32" s="115">
        <f t="shared" ref="B32:K32" si="11">+B31-B19</f>
        <v>0</v>
      </c>
      <c r="C32" s="115">
        <f t="shared" si="11"/>
        <v>0</v>
      </c>
      <c r="D32" s="115">
        <f t="shared" si="11"/>
        <v>0</v>
      </c>
      <c r="E32" s="115">
        <f t="shared" si="11"/>
        <v>0</v>
      </c>
      <c r="F32" s="115">
        <f t="shared" si="11"/>
        <v>0</v>
      </c>
      <c r="G32" s="115">
        <f t="shared" si="11"/>
        <v>0</v>
      </c>
      <c r="H32" s="115">
        <f t="shared" si="11"/>
        <v>0</v>
      </c>
      <c r="I32" s="115">
        <f t="shared" si="11"/>
        <v>0</v>
      </c>
      <c r="J32" s="115">
        <f t="shared" si="11"/>
        <v>0</v>
      </c>
      <c r="K32" s="115">
        <f t="shared" si="11"/>
        <v>0</v>
      </c>
    </row>
    <row r="33" spans="1:11">
      <c r="A33" s="592" t="s">
        <v>126</v>
      </c>
      <c r="B33" s="593"/>
      <c r="C33" s="593"/>
      <c r="D33" s="593"/>
      <c r="E33" s="593"/>
      <c r="F33" s="593"/>
      <c r="G33" s="593"/>
      <c r="H33" s="593"/>
      <c r="I33" s="593"/>
      <c r="J33" s="593"/>
      <c r="K33" s="593"/>
    </row>
    <row r="34" spans="1:11">
      <c r="A34" s="351" t="s">
        <v>1</v>
      </c>
      <c r="B34" s="352">
        <v>44651</v>
      </c>
      <c r="C34" s="352">
        <v>45016</v>
      </c>
      <c r="D34" s="352">
        <v>45382</v>
      </c>
      <c r="E34" s="352">
        <v>45747</v>
      </c>
      <c r="F34" s="352">
        <v>46112</v>
      </c>
      <c r="G34" s="352">
        <v>46477</v>
      </c>
      <c r="H34" s="352">
        <v>46843</v>
      </c>
      <c r="I34" s="352">
        <v>47208</v>
      </c>
      <c r="J34" s="352">
        <v>47573</v>
      </c>
      <c r="K34" s="352">
        <v>47938</v>
      </c>
    </row>
    <row r="35" spans="1:11">
      <c r="A35" s="114" t="s">
        <v>127</v>
      </c>
      <c r="B35" s="107">
        <v>0</v>
      </c>
      <c r="C35" s="107">
        <f t="shared" ref="C35:G35" si="12">+B38</f>
        <v>0</v>
      </c>
      <c r="D35" s="107">
        <f t="shared" si="12"/>
        <v>0</v>
      </c>
      <c r="E35" s="107">
        <f t="shared" si="12"/>
        <v>0</v>
      </c>
      <c r="F35" s="107">
        <f t="shared" si="12"/>
        <v>26.711067279341062</v>
      </c>
      <c r="G35" s="107">
        <f t="shared" si="12"/>
        <v>151.25759025105276</v>
      </c>
      <c r="H35" s="107">
        <f>+G38</f>
        <v>280.96411322276447</v>
      </c>
      <c r="I35" s="107">
        <f>+H38</f>
        <v>433.83645594719377</v>
      </c>
      <c r="J35" s="107">
        <f t="shared" ref="J35:K35" si="13">+I38</f>
        <v>581.36268391890553</v>
      </c>
      <c r="K35" s="107">
        <f t="shared" si="13"/>
        <v>751.19883644224774</v>
      </c>
    </row>
    <row r="36" spans="1:11">
      <c r="A36" s="114" t="s">
        <v>81</v>
      </c>
      <c r="B36" s="107">
        <v>0</v>
      </c>
      <c r="C36" s="107">
        <v>0</v>
      </c>
      <c r="D36" s="107">
        <f>+'Project PL  P2'!D28</f>
        <v>0</v>
      </c>
      <c r="E36" s="107">
        <f>+'Project PL  P2'!E28</f>
        <v>26.711067279341062</v>
      </c>
      <c r="F36" s="107">
        <f>+'Project PL  P2'!F28</f>
        <v>154.54652297171171</v>
      </c>
      <c r="G36" s="107">
        <f>+'Project PL  P2'!G28</f>
        <v>162.70652297171171</v>
      </c>
      <c r="H36" s="107">
        <f>+'Project PL  P2'!H28</f>
        <v>189.17234272442931</v>
      </c>
      <c r="I36" s="107">
        <f>+'Project PL  P2'!I28</f>
        <v>187.45622797171174</v>
      </c>
      <c r="J36" s="107">
        <f>+'Project PL  P2'!J28</f>
        <v>213.75915252334227</v>
      </c>
      <c r="K36" s="107">
        <f>+'Project PL  P2'!K28</f>
        <v>208.55747797171176</v>
      </c>
    </row>
    <row r="37" spans="1:11">
      <c r="A37" s="114" t="s">
        <v>82</v>
      </c>
      <c r="B37" s="107">
        <v>0</v>
      </c>
      <c r="C37" s="107">
        <f t="shared" ref="C37" si="14">+B37*1.1</f>
        <v>0</v>
      </c>
      <c r="D37" s="107">
        <v>0</v>
      </c>
      <c r="E37" s="107">
        <v>0</v>
      </c>
      <c r="F37" s="107">
        <v>30</v>
      </c>
      <c r="G37" s="107">
        <f t="shared" ref="G37:I37" si="15">+F37*1.1</f>
        <v>33</v>
      </c>
      <c r="H37" s="107">
        <f t="shared" si="15"/>
        <v>36.300000000000004</v>
      </c>
      <c r="I37" s="107">
        <f t="shared" si="15"/>
        <v>39.930000000000007</v>
      </c>
      <c r="J37" s="107">
        <f t="shared" ref="J37" si="16">+I37*1.1</f>
        <v>43.923000000000009</v>
      </c>
      <c r="K37" s="107">
        <f t="shared" ref="K37" si="17">+J37*1.1</f>
        <v>48.315300000000015</v>
      </c>
    </row>
    <row r="38" spans="1:11">
      <c r="A38" s="351" t="s">
        <v>83</v>
      </c>
      <c r="B38" s="355">
        <f t="shared" ref="B38:I38" si="18">+B35+B36-B37</f>
        <v>0</v>
      </c>
      <c r="C38" s="355">
        <f t="shared" si="18"/>
        <v>0</v>
      </c>
      <c r="D38" s="355">
        <f t="shared" si="18"/>
        <v>0</v>
      </c>
      <c r="E38" s="355">
        <f>+E35+E36-E37</f>
        <v>26.711067279341062</v>
      </c>
      <c r="F38" s="355">
        <f t="shared" si="18"/>
        <v>151.25759025105276</v>
      </c>
      <c r="G38" s="355">
        <f t="shared" si="18"/>
        <v>280.96411322276447</v>
      </c>
      <c r="H38" s="355">
        <f t="shared" si="18"/>
        <v>433.83645594719377</v>
      </c>
      <c r="I38" s="355">
        <f t="shared" si="18"/>
        <v>581.36268391890553</v>
      </c>
      <c r="J38" s="355">
        <f t="shared" ref="J38:K38" si="19">+J35+J36-J37</f>
        <v>751.19883644224774</v>
      </c>
      <c r="K38" s="355">
        <f t="shared" si="19"/>
        <v>911.44101441395946</v>
      </c>
    </row>
    <row r="51" spans="2:2">
      <c r="B51" s="1" t="s">
        <v>31</v>
      </c>
    </row>
  </sheetData>
  <mergeCells count="3">
    <mergeCell ref="A2:K2"/>
    <mergeCell ref="A1:K1"/>
    <mergeCell ref="A33:K33"/>
  </mergeCells>
  <pageMargins left="0.7" right="0.7" top="0.75" bottom="0.75" header="0.3" footer="0.3"/>
  <pageSetup paperSize="9" scale="77" orientation="landscape" r:id="rId1"/>
  <headerFooter>
    <oddHeader>&amp;C&amp;"Book Antiqua,Bold"&amp;13</oddHeader>
    <oddFooter>&amp;C&amp;"-,Bold"&amp;12Prepared by JNR Corporate Advisory Services Private Limited, Contact details: jnr4india@gmail.com, +918602267779, +918962611446</oddFooter>
  </headerFooter>
  <rowBreaks count="2" manualBreakCount="2">
    <brk id="31" max="10" man="1"/>
    <brk id="38"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421D-90D3-4F9D-8F82-9A4413B36078}">
  <sheetPr>
    <tabColor rgb="FF92D050"/>
  </sheetPr>
  <dimension ref="A1:N39"/>
  <sheetViews>
    <sheetView showGridLines="0" view="pageBreakPreview" zoomScaleSheetLayoutView="100" workbookViewId="0">
      <selection activeCell="J5" sqref="J5"/>
    </sheetView>
  </sheetViews>
  <sheetFormatPr defaultColWidth="9.1796875" defaultRowHeight="13"/>
  <cols>
    <col min="1" max="1" width="38.54296875" style="51" customWidth="1"/>
    <col min="2" max="2" width="12.1796875" style="51" customWidth="1"/>
    <col min="3" max="11" width="11" style="51" customWidth="1"/>
    <col min="12" max="16384" width="9.1796875" style="51"/>
  </cols>
  <sheetData>
    <row r="1" spans="1:14" ht="25.5">
      <c r="A1" s="591" t="s">
        <v>382</v>
      </c>
      <c r="B1" s="591"/>
      <c r="C1" s="591"/>
      <c r="D1" s="591"/>
      <c r="E1" s="591"/>
      <c r="F1" s="591"/>
      <c r="G1" s="591"/>
      <c r="H1" s="591"/>
      <c r="I1" s="591"/>
      <c r="J1" s="591"/>
      <c r="K1" s="591"/>
    </row>
    <row r="2" spans="1:14">
      <c r="A2" s="62"/>
      <c r="B2" s="62"/>
      <c r="C2" s="61"/>
      <c r="D2" s="61"/>
      <c r="E2" s="61"/>
      <c r="F2" s="61"/>
      <c r="G2" s="61"/>
      <c r="H2" s="61"/>
      <c r="I2" s="61"/>
      <c r="J2" s="61"/>
      <c r="K2" s="61"/>
    </row>
    <row r="3" spans="1:14">
      <c r="A3" s="594" t="s">
        <v>98</v>
      </c>
      <c r="B3" s="595"/>
      <c r="C3" s="595"/>
      <c r="D3" s="595"/>
      <c r="E3" s="595"/>
      <c r="F3" s="595"/>
      <c r="G3" s="595"/>
      <c r="H3" s="595"/>
      <c r="I3" s="595"/>
      <c r="J3" s="595"/>
      <c r="K3" s="595"/>
    </row>
    <row r="4" spans="1:14">
      <c r="A4" s="356" t="s">
        <v>1</v>
      </c>
      <c r="B4" s="357" t="s">
        <v>333</v>
      </c>
      <c r="C4" s="357" t="s">
        <v>20</v>
      </c>
      <c r="D4" s="357" t="s">
        <v>21</v>
      </c>
      <c r="E4" s="357" t="s">
        <v>27</v>
      </c>
      <c r="F4" s="357" t="s">
        <v>28</v>
      </c>
      <c r="G4" s="357" t="s">
        <v>57</v>
      </c>
      <c r="H4" s="357" t="s">
        <v>138</v>
      </c>
      <c r="I4" s="357" t="s">
        <v>225</v>
      </c>
      <c r="J4" s="357" t="s">
        <v>729</v>
      </c>
      <c r="K4" s="357" t="s">
        <v>730</v>
      </c>
    </row>
    <row r="5" spans="1:14">
      <c r="A5" s="356"/>
      <c r="B5" s="358" t="s">
        <v>332</v>
      </c>
      <c r="C5" s="358" t="s">
        <v>332</v>
      </c>
      <c r="D5" s="358" t="s">
        <v>39</v>
      </c>
      <c r="E5" s="358" t="s">
        <v>39</v>
      </c>
      <c r="F5" s="358" t="s">
        <v>39</v>
      </c>
      <c r="G5" s="358" t="s">
        <v>39</v>
      </c>
      <c r="H5" s="358" t="s">
        <v>39</v>
      </c>
      <c r="I5" s="358" t="s">
        <v>39</v>
      </c>
      <c r="J5" s="358" t="s">
        <v>39</v>
      </c>
      <c r="K5" s="358" t="s">
        <v>39</v>
      </c>
    </row>
    <row r="6" spans="1:14">
      <c r="A6" s="53" t="s">
        <v>156</v>
      </c>
      <c r="B6" s="58">
        <f>+'Production, Revenue &amp; Profi P2'!D205</f>
        <v>0</v>
      </c>
      <c r="C6" s="58">
        <v>0</v>
      </c>
      <c r="D6" s="58">
        <v>0</v>
      </c>
      <c r="E6" s="58">
        <f>+SUM('Production, Revenue &amp; Profi P2'!G210)</f>
        <v>175.58340271739132</v>
      </c>
      <c r="F6" s="58">
        <f>+SUM('Production, Revenue &amp; Profi P2'!H210)</f>
        <v>1255.9449532608694</v>
      </c>
      <c r="G6" s="58">
        <f>+SUM('Production, Revenue &amp; Profi P2'!I210)</f>
        <v>1255.9449532608694</v>
      </c>
      <c r="H6" s="58">
        <f>+SUM('Production, Revenue &amp; Profi P2'!J210)</f>
        <v>1284.3755203804349</v>
      </c>
      <c r="I6" s="58">
        <f>+SUM('Production, Revenue &amp; Profi P2'!K210)</f>
        <v>1255.9449532608694</v>
      </c>
      <c r="J6" s="58">
        <f>+SUM('Production, Revenue &amp; Profi P2'!L210)</f>
        <v>1284.3755203804349</v>
      </c>
      <c r="K6" s="58">
        <f>+SUM('Production, Revenue &amp; Profi P2'!M210)</f>
        <v>1255.9449532608694</v>
      </c>
    </row>
    <row r="7" spans="1:14">
      <c r="A7" s="64"/>
      <c r="B7" s="58"/>
      <c r="C7" s="58"/>
      <c r="D7" s="58"/>
      <c r="E7" s="58"/>
      <c r="F7" s="58"/>
      <c r="G7" s="58"/>
      <c r="H7" s="58"/>
      <c r="I7" s="58"/>
      <c r="J7" s="58"/>
      <c r="K7" s="58"/>
    </row>
    <row r="8" spans="1:14">
      <c r="A8" s="359" t="s">
        <v>7</v>
      </c>
      <c r="B8" s="360">
        <f t="shared" ref="B8:I8" si="0">+SUM(B6:B6)</f>
        <v>0</v>
      </c>
      <c r="C8" s="360">
        <f t="shared" si="0"/>
        <v>0</v>
      </c>
      <c r="D8" s="360">
        <f t="shared" si="0"/>
        <v>0</v>
      </c>
      <c r="E8" s="360">
        <f t="shared" si="0"/>
        <v>175.58340271739132</v>
      </c>
      <c r="F8" s="360">
        <f t="shared" si="0"/>
        <v>1255.9449532608694</v>
      </c>
      <c r="G8" s="360">
        <f t="shared" si="0"/>
        <v>1255.9449532608694</v>
      </c>
      <c r="H8" s="360">
        <f t="shared" si="0"/>
        <v>1284.3755203804349</v>
      </c>
      <c r="I8" s="360">
        <f t="shared" si="0"/>
        <v>1255.9449532608694</v>
      </c>
      <c r="J8" s="360">
        <f t="shared" ref="J8:K8" si="1">+SUM(J6:J6)</f>
        <v>1284.3755203804349</v>
      </c>
      <c r="K8" s="360">
        <f t="shared" si="1"/>
        <v>1255.9449532608694</v>
      </c>
    </row>
    <row r="9" spans="1:14">
      <c r="A9" s="57"/>
      <c r="B9" s="57"/>
      <c r="C9" s="57"/>
      <c r="D9" s="57"/>
      <c r="E9" s="57"/>
      <c r="F9" s="57"/>
      <c r="G9" s="57"/>
      <c r="H9" s="57"/>
      <c r="I9" s="57"/>
      <c r="J9" s="57"/>
      <c r="K9" s="57"/>
    </row>
    <row r="10" spans="1:14">
      <c r="A10" s="59" t="s">
        <v>129</v>
      </c>
      <c r="B10" s="66">
        <v>0</v>
      </c>
      <c r="C10" s="66">
        <v>0</v>
      </c>
      <c r="D10" s="66">
        <v>0</v>
      </c>
      <c r="E10" s="66">
        <f>+SUM('Production, Revenue &amp; Profi P2'!G214:G227)</f>
        <v>126.79511552173909</v>
      </c>
      <c r="F10" s="66">
        <f>+SUM('Production, Revenue &amp; Profi P2'!H214:H227)</f>
        <v>933.07150582608699</v>
      </c>
      <c r="G10" s="66">
        <f>+SUM('Production, Revenue &amp; Profi P2'!I214:I227)</f>
        <v>933.07150582608699</v>
      </c>
      <c r="H10" s="66">
        <f>+SUM('Production, Revenue &amp; Profi P2'!J214:J227)</f>
        <v>941.61581441304349</v>
      </c>
      <c r="I10" s="66">
        <f>+SUM('Production, Revenue &amp; Profi P2'!K214:K227)</f>
        <v>928.40420582608692</v>
      </c>
      <c r="J10" s="66">
        <f>+SUM('Production, Revenue &amp; Profi P2'!L214:L227)</f>
        <v>939.09015582608708</v>
      </c>
      <c r="K10" s="66">
        <f>+SUM('Production, Revenue &amp; Profi P2'!M214:M227)</f>
        <v>928.40420582608692</v>
      </c>
      <c r="L10" s="51">
        <f>49.58-5.11-5.35</f>
        <v>39.119999999999997</v>
      </c>
    </row>
    <row r="11" spans="1:14">
      <c r="A11" s="59" t="s">
        <v>305</v>
      </c>
      <c r="B11" s="66">
        <v>0</v>
      </c>
      <c r="C11" s="66">
        <v>0</v>
      </c>
      <c r="D11" s="66">
        <v>0</v>
      </c>
      <c r="E11" s="66">
        <f>+'Production, Revenue &amp; Profi P2'!G234</f>
        <v>0</v>
      </c>
      <c r="F11" s="66">
        <f>+'Production, Revenue &amp; Profi P2'!H234</f>
        <v>10</v>
      </c>
      <c r="G11" s="66">
        <f>+'Production, Revenue &amp; Profi P2'!I234</f>
        <v>10</v>
      </c>
      <c r="H11" s="66">
        <f>+'Production, Revenue &amp; Profi P2'!J234</f>
        <v>10</v>
      </c>
      <c r="I11" s="66">
        <f>+'Production, Revenue &amp; Profi P2'!K234</f>
        <v>10</v>
      </c>
      <c r="J11" s="66">
        <f>+'Production, Revenue &amp; Profi P2'!L234</f>
        <v>10</v>
      </c>
      <c r="K11" s="66">
        <f>+'Production, Revenue &amp; Profi P2'!M234</f>
        <v>10</v>
      </c>
    </row>
    <row r="12" spans="1:14" ht="14.25" customHeight="1">
      <c r="A12" s="54"/>
      <c r="B12" s="63"/>
      <c r="C12" s="63"/>
      <c r="D12" s="63"/>
      <c r="E12" s="63"/>
      <c r="F12" s="63"/>
      <c r="G12" s="63"/>
      <c r="H12" s="63"/>
      <c r="I12" s="63"/>
      <c r="J12" s="63"/>
      <c r="K12" s="63"/>
    </row>
    <row r="13" spans="1:14">
      <c r="A13" s="359" t="s">
        <v>58</v>
      </c>
      <c r="B13" s="361">
        <f t="shared" ref="B13:I13" si="2">+B8-B10-B11</f>
        <v>0</v>
      </c>
      <c r="C13" s="361">
        <f t="shared" si="2"/>
        <v>0</v>
      </c>
      <c r="D13" s="361">
        <f t="shared" si="2"/>
        <v>0</v>
      </c>
      <c r="E13" s="361">
        <f t="shared" si="2"/>
        <v>48.788287195652231</v>
      </c>
      <c r="F13" s="361">
        <f t="shared" si="2"/>
        <v>312.87344743478241</v>
      </c>
      <c r="G13" s="361">
        <f t="shared" si="2"/>
        <v>312.87344743478241</v>
      </c>
      <c r="H13" s="361">
        <f t="shared" si="2"/>
        <v>332.75970596739137</v>
      </c>
      <c r="I13" s="361">
        <f t="shared" si="2"/>
        <v>317.54074743478247</v>
      </c>
      <c r="J13" s="361">
        <f t="shared" ref="J13:K13" si="3">+J8-J10-J11</f>
        <v>335.28536455434778</v>
      </c>
      <c r="K13" s="361">
        <f t="shared" si="3"/>
        <v>317.54074743478247</v>
      </c>
      <c r="L13" s="67"/>
      <c r="M13" s="67"/>
      <c r="N13" s="67"/>
    </row>
    <row r="14" spans="1:14" s="89" customFormat="1">
      <c r="A14" s="54"/>
      <c r="B14" s="54"/>
      <c r="C14" s="54"/>
      <c r="D14" s="54"/>
      <c r="E14" s="54"/>
      <c r="F14" s="54"/>
      <c r="G14" s="54"/>
      <c r="H14" s="54"/>
      <c r="I14" s="54"/>
      <c r="J14" s="54"/>
      <c r="K14" s="54"/>
    </row>
    <row r="15" spans="1:14" s="89" customFormat="1">
      <c r="A15" s="54" t="s">
        <v>59</v>
      </c>
      <c r="B15" s="66">
        <f>+'Production, Revenue &amp; Profi P2'!D238</f>
        <v>0</v>
      </c>
      <c r="C15" s="66">
        <v>0</v>
      </c>
      <c r="D15" s="66">
        <f>+'Production, Revenue &amp; Profi P2'!F238</f>
        <v>0</v>
      </c>
      <c r="E15" s="66">
        <f>+'Production, Revenue &amp; Profi P2'!G238</f>
        <v>14.863502161133333</v>
      </c>
      <c r="F15" s="66">
        <f>+'Production, Revenue &amp; Profi P2'!H238</f>
        <v>59.454008644533332</v>
      </c>
      <c r="G15" s="66">
        <f>+'Production, Revenue &amp; Profi P2'!I238</f>
        <v>59.454008644533332</v>
      </c>
      <c r="H15" s="66">
        <f>+'Production, Revenue &amp; Profi P2'!J238</f>
        <v>59.454008644533332</v>
      </c>
      <c r="I15" s="66">
        <f>+'Production, Revenue &amp; Profi P2'!K238</f>
        <v>59.454008644533332</v>
      </c>
      <c r="J15" s="66">
        <f>+'Production, Revenue &amp; Profi P2'!L238</f>
        <v>59.454008644533332</v>
      </c>
      <c r="K15" s="66">
        <f>+'Production, Revenue &amp; Profi P2'!M238</f>
        <v>59.454008644533332</v>
      </c>
    </row>
    <row r="16" spans="1:14" s="89" customFormat="1">
      <c r="A16" s="54"/>
      <c r="B16" s="54"/>
      <c r="C16" s="54"/>
      <c r="D16" s="54"/>
      <c r="E16" s="54"/>
      <c r="F16" s="54"/>
      <c r="G16" s="54"/>
      <c r="H16" s="54"/>
      <c r="I16" s="54"/>
      <c r="J16" s="54"/>
      <c r="K16" s="54"/>
    </row>
    <row r="17" spans="1:11" s="89" customFormat="1">
      <c r="A17" s="359" t="s">
        <v>61</v>
      </c>
      <c r="B17" s="361">
        <f t="shared" ref="B17:I17" si="4">+B13-B15</f>
        <v>0</v>
      </c>
      <c r="C17" s="361">
        <f t="shared" si="4"/>
        <v>0</v>
      </c>
      <c r="D17" s="361">
        <f t="shared" si="4"/>
        <v>0</v>
      </c>
      <c r="E17" s="361">
        <f t="shared" si="4"/>
        <v>33.924785034518898</v>
      </c>
      <c r="F17" s="361">
        <f t="shared" si="4"/>
        <v>253.41943879024907</v>
      </c>
      <c r="G17" s="361">
        <f t="shared" si="4"/>
        <v>253.41943879024907</v>
      </c>
      <c r="H17" s="361">
        <f t="shared" si="4"/>
        <v>273.30569732285801</v>
      </c>
      <c r="I17" s="361">
        <f t="shared" si="4"/>
        <v>258.08673879024911</v>
      </c>
      <c r="J17" s="361">
        <f t="shared" ref="J17:K17" si="5">+J13-J15</f>
        <v>275.83135590981442</v>
      </c>
      <c r="K17" s="361">
        <f t="shared" si="5"/>
        <v>258.08673879024911</v>
      </c>
    </row>
    <row r="18" spans="1:11" s="89" customFormat="1">
      <c r="A18" s="54"/>
      <c r="B18" s="54"/>
      <c r="C18" s="54"/>
      <c r="D18" s="54"/>
      <c r="E18" s="54"/>
      <c r="F18" s="54"/>
      <c r="G18" s="54"/>
      <c r="H18" s="54"/>
      <c r="I18" s="54"/>
      <c r="J18" s="54"/>
      <c r="K18" s="54"/>
    </row>
    <row r="19" spans="1:11">
      <c r="A19" s="69" t="s">
        <v>38</v>
      </c>
      <c r="B19" s="70"/>
      <c r="C19" s="70"/>
      <c r="D19" s="70"/>
      <c r="E19" s="70"/>
      <c r="F19" s="70"/>
      <c r="G19" s="70"/>
      <c r="H19" s="70"/>
      <c r="I19" s="70"/>
      <c r="J19" s="70"/>
      <c r="K19" s="70"/>
    </row>
    <row r="20" spans="1:11">
      <c r="A20" s="54" t="s">
        <v>230</v>
      </c>
      <c r="B20" s="73">
        <f>+'Production, Revenue &amp; Profi P2'!D243</f>
        <v>0</v>
      </c>
      <c r="C20" s="73">
        <v>0</v>
      </c>
      <c r="D20" s="73">
        <v>0</v>
      </c>
      <c r="E20" s="73">
        <v>0</v>
      </c>
      <c r="F20" s="73">
        <f>+'Production, Revenue &amp; Profi P2'!H243</f>
        <v>60.600000000000009</v>
      </c>
      <c r="G20" s="73">
        <f>+'Production, Revenue &amp; Profi P2'!I243</f>
        <v>51.000000000000007</v>
      </c>
      <c r="H20" s="73">
        <f>+'Production, Revenue &amp; Profi P2'!J243</f>
        <v>39.75</v>
      </c>
      <c r="I20" s="73">
        <f>+'Production, Revenue &amp; Profi P2'!K243</f>
        <v>26.549999999999997</v>
      </c>
      <c r="J20" s="73">
        <f>+'Production, Revenue &amp; Profi P2'!L243</f>
        <v>13.349999999999998</v>
      </c>
      <c r="K20" s="73">
        <f>+'Production, Revenue &amp; Profi P2'!M243</f>
        <v>1.7250000000000001</v>
      </c>
    </row>
    <row r="21" spans="1:11">
      <c r="A21" s="54" t="s">
        <v>346</v>
      </c>
      <c r="B21" s="73">
        <v>0</v>
      </c>
      <c r="C21" s="73">
        <v>0</v>
      </c>
      <c r="D21" s="73">
        <v>0</v>
      </c>
      <c r="E21" s="73">
        <f>+'Production, Revenue &amp; Profi P2'!G244</f>
        <v>0</v>
      </c>
      <c r="F21" s="73">
        <f>+'Production, Revenue &amp; Profi P2'!H244</f>
        <v>1</v>
      </c>
      <c r="G21" s="73">
        <f>+'Production, Revenue &amp; Profi P2'!I244</f>
        <v>1</v>
      </c>
      <c r="H21" s="73">
        <f>+'Production, Revenue &amp; Profi P2'!J244</f>
        <v>1</v>
      </c>
      <c r="I21" s="73">
        <f>+'Production, Revenue &amp; Profi P2'!K244</f>
        <v>1</v>
      </c>
      <c r="J21" s="73">
        <f>+'Production, Revenue &amp; Profi P2'!L244</f>
        <v>1</v>
      </c>
      <c r="K21" s="73">
        <f>+'Production, Revenue &amp; Profi P2'!M244</f>
        <v>1</v>
      </c>
    </row>
    <row r="22" spans="1:11">
      <c r="A22" s="54" t="s">
        <v>231</v>
      </c>
      <c r="B22" s="55">
        <f>+'Production, Revenue &amp; Profi P2'!D245</f>
        <v>0</v>
      </c>
      <c r="C22" s="55">
        <v>0</v>
      </c>
      <c r="D22" s="55">
        <f>+'Production, Revenue &amp; Profi P2'!F245</f>
        <v>0</v>
      </c>
      <c r="E22" s="55">
        <f>+'Production, Revenue &amp; Profi P2'!G245</f>
        <v>2.5</v>
      </c>
      <c r="F22" s="55">
        <f>+'Production, Revenue &amp; Profi P2'!H245</f>
        <v>10</v>
      </c>
      <c r="G22" s="55">
        <f>+'Production, Revenue &amp; Profi P2'!I245</f>
        <v>10</v>
      </c>
      <c r="H22" s="55">
        <f>+'Production, Revenue &amp; Profi P2'!J245</f>
        <v>10</v>
      </c>
      <c r="I22" s="55">
        <f>+'Production, Revenue &amp; Profi P2'!K245</f>
        <v>10</v>
      </c>
      <c r="J22" s="55">
        <f>+'Production, Revenue &amp; Profi P2'!L245</f>
        <v>10</v>
      </c>
      <c r="K22" s="55">
        <f>+'Production, Revenue &amp; Profi P2'!M245</f>
        <v>10</v>
      </c>
    </row>
    <row r="23" spans="1:11">
      <c r="A23" s="63"/>
      <c r="B23" s="63"/>
      <c r="C23" s="63"/>
      <c r="D23" s="63"/>
      <c r="E23" s="63"/>
      <c r="F23" s="63"/>
      <c r="G23" s="63"/>
      <c r="H23" s="63"/>
      <c r="I23" s="63"/>
      <c r="J23" s="63"/>
      <c r="K23" s="63"/>
    </row>
    <row r="24" spans="1:11">
      <c r="A24" s="360" t="s">
        <v>62</v>
      </c>
      <c r="B24" s="360">
        <f t="shared" ref="B24" si="6">+B17-SUM(B20:B22)</f>
        <v>0</v>
      </c>
      <c r="C24" s="360">
        <f t="shared" ref="C24:I24" si="7">+C17-SUM(C20:C22)</f>
        <v>0</v>
      </c>
      <c r="D24" s="360">
        <f t="shared" si="7"/>
        <v>0</v>
      </c>
      <c r="E24" s="360">
        <f t="shared" si="7"/>
        <v>31.424785034518898</v>
      </c>
      <c r="F24" s="360">
        <f t="shared" si="7"/>
        <v>181.81943879024908</v>
      </c>
      <c r="G24" s="360">
        <f t="shared" si="7"/>
        <v>191.41943879024907</v>
      </c>
      <c r="H24" s="360">
        <f t="shared" si="7"/>
        <v>222.55569732285801</v>
      </c>
      <c r="I24" s="360">
        <f t="shared" si="7"/>
        <v>220.5367387902491</v>
      </c>
      <c r="J24" s="360">
        <f t="shared" ref="J24:K24" si="8">+J17-SUM(J20:J22)</f>
        <v>251.48135590981443</v>
      </c>
      <c r="K24" s="360">
        <f t="shared" si="8"/>
        <v>245.36173879024912</v>
      </c>
    </row>
    <row r="25" spans="1:11">
      <c r="A25" s="72"/>
      <c r="B25" s="72"/>
      <c r="C25" s="72"/>
      <c r="D25" s="72"/>
      <c r="E25" s="72"/>
      <c r="F25" s="72"/>
      <c r="G25" s="72"/>
      <c r="H25" s="72"/>
      <c r="I25" s="72"/>
      <c r="J25" s="72"/>
      <c r="K25" s="72"/>
    </row>
    <row r="26" spans="1:11">
      <c r="A26" s="72" t="s">
        <v>221</v>
      </c>
      <c r="B26" s="72">
        <v>0</v>
      </c>
      <c r="C26" s="72">
        <v>0</v>
      </c>
      <c r="D26" s="72">
        <f t="shared" ref="D26:I26" si="9">+D24*0.15</f>
        <v>0</v>
      </c>
      <c r="E26" s="72">
        <f t="shared" si="9"/>
        <v>4.7137177551778349</v>
      </c>
      <c r="F26" s="72">
        <f t="shared" si="9"/>
        <v>27.27291581853736</v>
      </c>
      <c r="G26" s="72">
        <f t="shared" si="9"/>
        <v>28.712915818537361</v>
      </c>
      <c r="H26" s="72">
        <f t="shared" si="9"/>
        <v>33.383354598428703</v>
      </c>
      <c r="I26" s="72">
        <f t="shared" si="9"/>
        <v>33.080510818537363</v>
      </c>
      <c r="J26" s="72">
        <f t="shared" ref="J26:K26" si="10">+J24*0.15</f>
        <v>37.72220338647216</v>
      </c>
      <c r="K26" s="72">
        <f t="shared" si="10"/>
        <v>36.804260818537365</v>
      </c>
    </row>
    <row r="27" spans="1:11">
      <c r="A27" s="72"/>
      <c r="B27" s="72"/>
      <c r="C27" s="72"/>
      <c r="D27" s="72"/>
      <c r="E27" s="72"/>
      <c r="F27" s="72"/>
      <c r="G27" s="72"/>
      <c r="H27" s="72"/>
      <c r="I27" s="72"/>
      <c r="J27" s="72"/>
      <c r="K27" s="72"/>
    </row>
    <row r="28" spans="1:11">
      <c r="A28" s="360" t="s">
        <v>40</v>
      </c>
      <c r="B28" s="360">
        <f t="shared" ref="B28:I28" si="11">+B24-B26</f>
        <v>0</v>
      </c>
      <c r="C28" s="360">
        <f t="shared" si="11"/>
        <v>0</v>
      </c>
      <c r="D28" s="360">
        <f t="shared" si="11"/>
        <v>0</v>
      </c>
      <c r="E28" s="360">
        <f t="shared" si="11"/>
        <v>26.711067279341062</v>
      </c>
      <c r="F28" s="360">
        <f t="shared" si="11"/>
        <v>154.54652297171171</v>
      </c>
      <c r="G28" s="360">
        <f t="shared" si="11"/>
        <v>162.70652297171171</v>
      </c>
      <c r="H28" s="360">
        <f t="shared" si="11"/>
        <v>189.17234272442931</v>
      </c>
      <c r="I28" s="360">
        <f t="shared" si="11"/>
        <v>187.45622797171174</v>
      </c>
      <c r="J28" s="360">
        <f t="shared" ref="J28:K28" si="12">+J24-J26</f>
        <v>213.75915252334227</v>
      </c>
      <c r="K28" s="360">
        <f t="shared" si="12"/>
        <v>208.55747797171176</v>
      </c>
    </row>
    <row r="29" spans="1:11">
      <c r="A29" s="71"/>
      <c r="B29" s="78"/>
      <c r="C29" s="78"/>
      <c r="D29" s="78"/>
      <c r="E29" s="78"/>
      <c r="F29" s="78"/>
      <c r="G29" s="78"/>
      <c r="H29" s="78"/>
      <c r="I29" s="78"/>
      <c r="J29" s="78"/>
      <c r="K29" s="78"/>
    </row>
    <row r="30" spans="1:11">
      <c r="A30" s="360" t="s">
        <v>65</v>
      </c>
      <c r="B30" s="360">
        <f>+B28+B20+B15+B22</f>
        <v>0</v>
      </c>
      <c r="C30" s="360">
        <f>+C28+C20+C15+C22</f>
        <v>0</v>
      </c>
      <c r="D30" s="360">
        <f t="shared" ref="D30:I30" si="13">+D28+D20+D15+D22</f>
        <v>0</v>
      </c>
      <c r="E30" s="360">
        <f t="shared" si="13"/>
        <v>44.074569440474392</v>
      </c>
      <c r="F30" s="360">
        <f t="shared" si="13"/>
        <v>284.60053161624501</v>
      </c>
      <c r="G30" s="360">
        <f t="shared" si="13"/>
        <v>283.16053161624507</v>
      </c>
      <c r="H30" s="360">
        <f t="shared" si="13"/>
        <v>298.37635136896267</v>
      </c>
      <c r="I30" s="360">
        <f t="shared" si="13"/>
        <v>283.46023661624508</v>
      </c>
      <c r="J30" s="360">
        <f t="shared" ref="J30:K30" si="14">+J28+J20+J15+J22</f>
        <v>296.56316116787559</v>
      </c>
      <c r="K30" s="360">
        <f t="shared" si="14"/>
        <v>279.73648661624509</v>
      </c>
    </row>
    <row r="31" spans="1:11">
      <c r="A31" s="360" t="s">
        <v>54</v>
      </c>
      <c r="B31" s="360">
        <v>0</v>
      </c>
      <c r="C31" s="360">
        <v>0</v>
      </c>
      <c r="D31" s="360">
        <v>0</v>
      </c>
      <c r="E31" s="360">
        <f>+'TL 2'!G87</f>
        <v>0</v>
      </c>
      <c r="F31" s="360">
        <f>+'TL 2'!G101</f>
        <v>96</v>
      </c>
      <c r="G31" s="360">
        <f>+'TL 2'!G115</f>
        <v>96</v>
      </c>
      <c r="H31" s="360">
        <f>+'TL 2'!G129</f>
        <v>132</v>
      </c>
      <c r="I31" s="360">
        <f>+'TL 2'!G143</f>
        <v>132</v>
      </c>
      <c r="J31" s="360">
        <f>+'TL 2'!G157</f>
        <v>132</v>
      </c>
      <c r="K31" s="360">
        <f>+'TL 2'!G171</f>
        <v>62</v>
      </c>
    </row>
    <row r="32" spans="1:11">
      <c r="A32" s="360" t="s">
        <v>66</v>
      </c>
      <c r="B32" s="360">
        <f>+B20+B22</f>
        <v>0</v>
      </c>
      <c r="C32" s="360">
        <f>+C20+C22</f>
        <v>0</v>
      </c>
      <c r="D32" s="360">
        <f t="shared" ref="D32:I32" si="15">+D20+D22</f>
        <v>0</v>
      </c>
      <c r="E32" s="360">
        <f t="shared" si="15"/>
        <v>2.5</v>
      </c>
      <c r="F32" s="360">
        <f t="shared" si="15"/>
        <v>70.600000000000009</v>
      </c>
      <c r="G32" s="360">
        <f t="shared" si="15"/>
        <v>61.000000000000007</v>
      </c>
      <c r="H32" s="360">
        <f t="shared" si="15"/>
        <v>49.75</v>
      </c>
      <c r="I32" s="360">
        <f t="shared" si="15"/>
        <v>36.549999999999997</v>
      </c>
      <c r="J32" s="360">
        <f t="shared" ref="J32:K32" si="16">+J20+J22</f>
        <v>23.349999999999998</v>
      </c>
      <c r="K32" s="360">
        <f t="shared" si="16"/>
        <v>11.725</v>
      </c>
    </row>
    <row r="33" spans="1:11">
      <c r="A33" s="360" t="s">
        <v>67</v>
      </c>
      <c r="B33" s="360">
        <f t="shared" ref="B33:I33" si="17">+B31+B32</f>
        <v>0</v>
      </c>
      <c r="C33" s="360">
        <f t="shared" si="17"/>
        <v>0</v>
      </c>
      <c r="D33" s="360">
        <f t="shared" si="17"/>
        <v>0</v>
      </c>
      <c r="E33" s="360">
        <f t="shared" si="17"/>
        <v>2.5</v>
      </c>
      <c r="F33" s="360">
        <f t="shared" si="17"/>
        <v>166.60000000000002</v>
      </c>
      <c r="G33" s="360">
        <f t="shared" si="17"/>
        <v>157</v>
      </c>
      <c r="H33" s="360">
        <f t="shared" si="17"/>
        <v>181.75</v>
      </c>
      <c r="I33" s="360">
        <f t="shared" si="17"/>
        <v>168.55</v>
      </c>
      <c r="J33" s="360">
        <f t="shared" ref="J33:K33" si="18">+J31+J32</f>
        <v>155.35</v>
      </c>
      <c r="K33" s="360">
        <f t="shared" si="18"/>
        <v>73.724999999999994</v>
      </c>
    </row>
    <row r="34" spans="1:11">
      <c r="A34" s="360" t="s">
        <v>64</v>
      </c>
      <c r="B34" s="360" t="e">
        <f t="shared" ref="B34:I34" si="19">+B30/B33</f>
        <v>#DIV/0!</v>
      </c>
      <c r="C34" s="360" t="e">
        <f t="shared" si="19"/>
        <v>#DIV/0!</v>
      </c>
      <c r="D34" s="360" t="e">
        <f t="shared" si="19"/>
        <v>#DIV/0!</v>
      </c>
      <c r="E34" s="360">
        <f t="shared" si="19"/>
        <v>17.629827776189757</v>
      </c>
      <c r="F34" s="360">
        <f t="shared" si="19"/>
        <v>1.7082865042991895</v>
      </c>
      <c r="G34" s="360">
        <f t="shared" si="19"/>
        <v>1.8035702650716245</v>
      </c>
      <c r="H34" s="360">
        <f t="shared" si="19"/>
        <v>1.6416855646160258</v>
      </c>
      <c r="I34" s="360">
        <f t="shared" si="19"/>
        <v>1.681757559277633</v>
      </c>
      <c r="J34" s="360">
        <f t="shared" ref="J34:K34" si="20">+J30/J33</f>
        <v>1.9090000718884814</v>
      </c>
      <c r="K34" s="360">
        <f t="shared" si="20"/>
        <v>3.7943233179551727</v>
      </c>
    </row>
    <row r="35" spans="1:11">
      <c r="D35" s="68"/>
      <c r="E35" s="68"/>
      <c r="F35" s="68"/>
      <c r="G35" s="68"/>
      <c r="H35" s="68"/>
      <c r="I35" s="68"/>
      <c r="J35" s="68"/>
      <c r="K35" s="68"/>
    </row>
    <row r="36" spans="1:11">
      <c r="D36" s="68"/>
      <c r="E36" s="68"/>
      <c r="F36" s="68"/>
      <c r="G36" s="68"/>
      <c r="H36" s="68"/>
      <c r="I36" s="68"/>
      <c r="J36" s="68"/>
      <c r="K36" s="68"/>
    </row>
    <row r="37" spans="1:11">
      <c r="A37" s="84"/>
      <c r="B37" s="84"/>
      <c r="C37" s="68"/>
      <c r="D37" s="68"/>
      <c r="E37" s="68"/>
      <c r="F37" s="68"/>
      <c r="G37" s="68"/>
      <c r="H37" s="68"/>
      <c r="I37" s="68"/>
      <c r="J37" s="68"/>
      <c r="K37" s="68"/>
    </row>
    <row r="38" spans="1:11">
      <c r="C38" s="68"/>
      <c r="D38" s="68"/>
      <c r="E38" s="68"/>
      <c r="F38" s="68"/>
      <c r="G38" s="68"/>
      <c r="H38" s="68"/>
      <c r="I38" s="68"/>
      <c r="J38" s="68"/>
      <c r="K38" s="68"/>
    </row>
    <row r="39" spans="1:11">
      <c r="C39" s="68"/>
      <c r="D39" s="68"/>
      <c r="E39" s="68"/>
      <c r="F39" s="68"/>
      <c r="G39" s="68"/>
      <c r="H39" s="68"/>
      <c r="I39" s="68"/>
      <c r="J39" s="68"/>
      <c r="K39" s="68"/>
    </row>
  </sheetData>
  <mergeCells count="2">
    <mergeCell ref="A3:K3"/>
    <mergeCell ref="A1:K1"/>
  </mergeCells>
  <pageMargins left="0.7" right="0.7" top="0.75" bottom="0.75" header="0.3" footer="0.3"/>
  <pageSetup paperSize="9" scale="87" orientation="landscape" r:id="rId1"/>
  <headerFooter>
    <oddHeader>&amp;C&amp;"Book Antiqua,Bold"&amp;13</oddHeader>
    <oddFooter>&amp;C&amp;"-,Bold"&amp;12Prepared by JNR Corporate Advisory Services Private Limited, Contact details: jnr4india@gmail.com, +918602267779, +918962611446</oddFooter>
  </headerFooter>
  <rowBreaks count="1" manualBreakCount="1">
    <brk id="3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11840-2B38-46B5-967E-31A3A149FA06}">
  <sheetPr>
    <tabColor rgb="FF92D050"/>
  </sheetPr>
  <dimension ref="A2:M248"/>
  <sheetViews>
    <sheetView showGridLines="0" view="pageBreakPreview" zoomScaleSheetLayoutView="100" workbookViewId="0">
      <selection activeCell="A15" sqref="A15"/>
    </sheetView>
  </sheetViews>
  <sheetFormatPr defaultColWidth="9.1796875" defaultRowHeight="15.5"/>
  <cols>
    <col min="1" max="1" width="45" style="1" customWidth="1"/>
    <col min="2" max="2" width="11.54296875" style="1" bestFit="1" customWidth="1"/>
    <col min="3" max="3" width="11.26953125" style="1" customWidth="1"/>
    <col min="4" max="4" width="15.90625" style="1" bestFit="1" customWidth="1"/>
    <col min="5" max="5" width="9.36328125" style="1" bestFit="1" customWidth="1"/>
    <col min="6" max="6" width="10.36328125" style="1" bestFit="1" customWidth="1"/>
    <col min="7" max="13" width="13.26953125" style="1" customWidth="1"/>
    <col min="14" max="14" width="6.7265625" style="1" bestFit="1" customWidth="1"/>
    <col min="15" max="16384" width="9.1796875" style="1"/>
  </cols>
  <sheetData>
    <row r="2" spans="1:13" ht="23.5">
      <c r="A2" s="35" t="s">
        <v>113</v>
      </c>
    </row>
    <row r="4" spans="1:13" ht="20">
      <c r="A4" s="596" t="s">
        <v>366</v>
      </c>
      <c r="B4" s="597"/>
      <c r="C4" s="597"/>
      <c r="D4" s="597"/>
      <c r="E4" s="597"/>
      <c r="F4" s="597"/>
      <c r="G4" s="597"/>
      <c r="H4" s="597"/>
      <c r="I4" s="597"/>
      <c r="J4" s="597"/>
      <c r="K4" s="597"/>
      <c r="L4" s="597"/>
      <c r="M4" s="597"/>
    </row>
    <row r="5" spans="1:13" ht="15.75" customHeight="1">
      <c r="A5" s="351" t="s">
        <v>1</v>
      </c>
      <c r="B5" s="357"/>
      <c r="C5" s="357"/>
      <c r="D5" s="357"/>
      <c r="E5" s="357"/>
      <c r="F5" s="357"/>
      <c r="G5" s="357"/>
      <c r="H5" s="357"/>
      <c r="I5" s="357"/>
      <c r="J5" s="357"/>
      <c r="K5" s="357"/>
      <c r="L5" s="357"/>
      <c r="M5" s="357"/>
    </row>
    <row r="6" spans="1:13" ht="33" customHeight="1">
      <c r="A6" s="351"/>
      <c r="B6" s="362"/>
      <c r="C6" s="363" t="s">
        <v>234</v>
      </c>
      <c r="D6" s="363" t="s">
        <v>142</v>
      </c>
      <c r="E6" s="441" t="s">
        <v>20</v>
      </c>
      <c r="F6" s="441" t="s">
        <v>21</v>
      </c>
      <c r="G6" s="441" t="s">
        <v>27</v>
      </c>
      <c r="H6" s="441" t="s">
        <v>28</v>
      </c>
      <c r="I6" s="441" t="s">
        <v>57</v>
      </c>
      <c r="J6" s="441" t="s">
        <v>138</v>
      </c>
      <c r="K6" s="441" t="s">
        <v>225</v>
      </c>
      <c r="L6" s="441" t="s">
        <v>729</v>
      </c>
      <c r="M6" s="441" t="s">
        <v>730</v>
      </c>
    </row>
    <row r="7" spans="1:13" ht="19.5" customHeight="1">
      <c r="A7" s="157"/>
      <c r="B7" s="20"/>
      <c r="C7" s="20"/>
      <c r="D7" s="20"/>
      <c r="E7" s="20"/>
      <c r="F7" s="20"/>
      <c r="G7" s="20"/>
      <c r="H7" s="20"/>
      <c r="I7" s="20"/>
      <c r="J7" s="20"/>
      <c r="K7" s="20"/>
      <c r="L7" s="20"/>
      <c r="M7" s="20"/>
    </row>
    <row r="8" spans="1:13" ht="21.75" customHeight="1">
      <c r="A8" s="234" t="s">
        <v>386</v>
      </c>
      <c r="B8" s="158">
        <v>5500</v>
      </c>
      <c r="C8" s="158">
        <v>2</v>
      </c>
      <c r="D8" s="235">
        <v>4</v>
      </c>
      <c r="E8" s="232">
        <v>0</v>
      </c>
      <c r="F8" s="232">
        <v>0</v>
      </c>
      <c r="G8" s="158">
        <v>4</v>
      </c>
      <c r="H8" s="158">
        <v>8</v>
      </c>
      <c r="I8" s="232"/>
      <c r="J8" s="232"/>
      <c r="K8" s="232"/>
      <c r="L8" s="232"/>
      <c r="M8" s="232"/>
    </row>
    <row r="9" spans="1:13">
      <c r="A9" s="159" t="s">
        <v>387</v>
      </c>
      <c r="B9" s="158">
        <v>5500</v>
      </c>
      <c r="C9" s="158">
        <v>2</v>
      </c>
      <c r="D9" s="235">
        <v>4</v>
      </c>
      <c r="E9" s="232">
        <v>0</v>
      </c>
      <c r="F9" s="232">
        <v>0</v>
      </c>
      <c r="G9" s="235">
        <v>2</v>
      </c>
      <c r="H9" s="235">
        <v>10</v>
      </c>
      <c r="I9" s="232"/>
      <c r="J9" s="232"/>
      <c r="K9" s="232"/>
      <c r="L9" s="232"/>
      <c r="M9" s="232"/>
    </row>
    <row r="10" spans="1:13">
      <c r="A10" s="236" t="s">
        <v>397</v>
      </c>
      <c r="B10" s="440">
        <v>5500</v>
      </c>
      <c r="C10" s="440">
        <v>2</v>
      </c>
      <c r="D10" s="235">
        <v>4</v>
      </c>
      <c r="E10" s="232">
        <v>0</v>
      </c>
      <c r="F10" s="232">
        <v>0</v>
      </c>
      <c r="G10" s="232">
        <v>0</v>
      </c>
      <c r="H10" s="232">
        <v>12</v>
      </c>
      <c r="J10" s="232"/>
      <c r="K10" s="232"/>
      <c r="L10" s="232"/>
      <c r="M10" s="232"/>
    </row>
    <row r="11" spans="1:13">
      <c r="A11" s="234" t="s">
        <v>398</v>
      </c>
      <c r="B11" s="440">
        <v>5500</v>
      </c>
      <c r="C11" s="440">
        <v>2</v>
      </c>
      <c r="D11" s="235">
        <v>4</v>
      </c>
      <c r="E11" s="232">
        <v>0</v>
      </c>
      <c r="F11" s="232">
        <v>0</v>
      </c>
      <c r="G11" s="232">
        <v>0</v>
      </c>
      <c r="H11" s="440">
        <v>10</v>
      </c>
      <c r="I11" s="440">
        <v>2</v>
      </c>
      <c r="J11" s="232"/>
      <c r="K11" s="232"/>
      <c r="L11" s="232"/>
      <c r="M11" s="232"/>
    </row>
    <row r="12" spans="1:13">
      <c r="A12" s="364" t="s">
        <v>388</v>
      </c>
      <c r="B12" s="365">
        <v>5500</v>
      </c>
      <c r="C12" s="365">
        <v>2</v>
      </c>
      <c r="D12" s="366">
        <v>4</v>
      </c>
      <c r="E12" s="367">
        <v>0</v>
      </c>
      <c r="F12" s="367">
        <v>0</v>
      </c>
      <c r="G12" s="367">
        <v>0</v>
      </c>
      <c r="H12" s="366">
        <v>3</v>
      </c>
      <c r="I12" s="366">
        <v>9</v>
      </c>
      <c r="J12" s="367"/>
      <c r="K12" s="367"/>
      <c r="L12" s="367"/>
      <c r="M12" s="367"/>
    </row>
    <row r="13" spans="1:13">
      <c r="A13" s="236" t="s">
        <v>389</v>
      </c>
      <c r="B13" s="440">
        <v>5500</v>
      </c>
      <c r="C13" s="440">
        <v>2</v>
      </c>
      <c r="D13" s="235">
        <v>4</v>
      </c>
      <c r="E13" s="232">
        <v>0</v>
      </c>
      <c r="F13" s="232">
        <v>0</v>
      </c>
      <c r="G13" s="232">
        <v>0</v>
      </c>
      <c r="H13" s="232">
        <v>1</v>
      </c>
      <c r="I13" s="232">
        <v>11</v>
      </c>
      <c r="J13" s="232"/>
      <c r="K13" s="232"/>
      <c r="L13" s="232"/>
      <c r="M13" s="232"/>
    </row>
    <row r="14" spans="1:13">
      <c r="A14" s="236" t="s">
        <v>399</v>
      </c>
      <c r="B14" s="440">
        <v>5500</v>
      </c>
      <c r="C14" s="440">
        <v>2</v>
      </c>
      <c r="D14" s="235">
        <v>4</v>
      </c>
      <c r="E14" s="232">
        <v>0</v>
      </c>
      <c r="F14" s="232">
        <v>0</v>
      </c>
      <c r="G14" s="232">
        <v>0</v>
      </c>
      <c r="H14" s="232">
        <v>0</v>
      </c>
      <c r="I14" s="440">
        <v>11</v>
      </c>
      <c r="J14" s="440">
        <v>1</v>
      </c>
      <c r="K14" s="232"/>
      <c r="L14" s="232"/>
      <c r="M14" s="232"/>
    </row>
    <row r="15" spans="1:13">
      <c r="A15" s="286" t="s">
        <v>400</v>
      </c>
      <c r="B15" s="440">
        <v>5500</v>
      </c>
      <c r="C15" s="440">
        <v>2</v>
      </c>
      <c r="D15" s="235">
        <v>4</v>
      </c>
      <c r="E15" s="232">
        <v>0</v>
      </c>
      <c r="F15" s="232">
        <v>0</v>
      </c>
      <c r="G15" s="232">
        <v>0</v>
      </c>
      <c r="H15" s="232">
        <v>0</v>
      </c>
      <c r="I15" s="235">
        <v>9</v>
      </c>
      <c r="J15" s="235">
        <v>3</v>
      </c>
      <c r="K15" s="232"/>
      <c r="L15" s="232"/>
      <c r="M15" s="232"/>
    </row>
    <row r="16" spans="1:13">
      <c r="A16" s="369" t="s">
        <v>390</v>
      </c>
      <c r="B16" s="365">
        <v>5500</v>
      </c>
      <c r="C16" s="365">
        <v>2</v>
      </c>
      <c r="D16" s="366">
        <v>4</v>
      </c>
      <c r="E16" s="367">
        <v>0</v>
      </c>
      <c r="F16" s="367">
        <v>0</v>
      </c>
      <c r="G16" s="367">
        <v>0</v>
      </c>
      <c r="H16" s="367"/>
      <c r="I16" s="367">
        <v>2</v>
      </c>
      <c r="J16" s="367">
        <v>10</v>
      </c>
      <c r="K16" s="367"/>
      <c r="L16" s="367"/>
      <c r="M16" s="367"/>
    </row>
    <row r="17" spans="1:13">
      <c r="A17" s="286" t="s">
        <v>391</v>
      </c>
      <c r="B17" s="440">
        <v>5500</v>
      </c>
      <c r="C17" s="440">
        <v>2</v>
      </c>
      <c r="D17" s="235">
        <v>4</v>
      </c>
      <c r="E17" s="232">
        <v>0</v>
      </c>
      <c r="F17" s="232">
        <v>0</v>
      </c>
      <c r="G17" s="232">
        <v>0</v>
      </c>
      <c r="H17" s="232"/>
      <c r="I17" s="440">
        <v>0</v>
      </c>
      <c r="J17" s="440">
        <v>12</v>
      </c>
      <c r="K17" s="2"/>
      <c r="L17" s="2"/>
    </row>
    <row r="18" spans="1:13">
      <c r="A18" s="236" t="s">
        <v>401</v>
      </c>
      <c r="B18" s="440">
        <v>5500</v>
      </c>
      <c r="C18" s="440">
        <v>2</v>
      </c>
      <c r="D18" s="235">
        <v>4</v>
      </c>
      <c r="E18" s="232">
        <v>0</v>
      </c>
      <c r="F18" s="232">
        <v>0</v>
      </c>
      <c r="G18" s="232">
        <v>0</v>
      </c>
      <c r="H18" s="232"/>
      <c r="I18" s="232">
        <v>0</v>
      </c>
      <c r="J18" s="235">
        <v>10</v>
      </c>
      <c r="K18" s="235">
        <v>2</v>
      </c>
      <c r="L18" s="235"/>
      <c r="M18" s="235"/>
    </row>
    <row r="19" spans="1:13">
      <c r="A19" s="286" t="s">
        <v>402</v>
      </c>
      <c r="B19" s="440">
        <v>5500</v>
      </c>
      <c r="C19" s="440">
        <v>2</v>
      </c>
      <c r="D19" s="235">
        <v>4</v>
      </c>
      <c r="E19" s="232">
        <v>0</v>
      </c>
      <c r="F19" s="232">
        <v>0</v>
      </c>
      <c r="G19" s="232">
        <v>0</v>
      </c>
      <c r="H19" s="232">
        <v>0</v>
      </c>
      <c r="I19" s="232"/>
      <c r="J19" s="232">
        <v>8</v>
      </c>
      <c r="K19" s="232">
        <v>4</v>
      </c>
      <c r="L19" s="232"/>
      <c r="M19" s="232"/>
    </row>
    <row r="20" spans="1:13">
      <c r="A20" s="369" t="s">
        <v>392</v>
      </c>
      <c r="B20" s="365">
        <v>5500</v>
      </c>
      <c r="C20" s="365">
        <v>2</v>
      </c>
      <c r="D20" s="366">
        <v>4</v>
      </c>
      <c r="E20" s="367">
        <v>0</v>
      </c>
      <c r="F20" s="367">
        <v>0</v>
      </c>
      <c r="G20" s="367">
        <v>0</v>
      </c>
      <c r="H20" s="367">
        <v>0</v>
      </c>
      <c r="I20" s="367">
        <v>0</v>
      </c>
      <c r="J20" s="367">
        <v>1</v>
      </c>
      <c r="K20" s="365">
        <v>11</v>
      </c>
      <c r="L20" s="365"/>
      <c r="M20" s="365"/>
    </row>
    <row r="21" spans="1:13">
      <c r="A21" s="286" t="s">
        <v>393</v>
      </c>
      <c r="B21" s="440">
        <v>5500</v>
      </c>
      <c r="C21" s="440">
        <v>2</v>
      </c>
      <c r="D21" s="235">
        <v>4</v>
      </c>
      <c r="E21" s="232">
        <v>0</v>
      </c>
      <c r="F21" s="232">
        <v>0</v>
      </c>
      <c r="G21" s="232">
        <v>0</v>
      </c>
      <c r="H21" s="232">
        <v>0</v>
      </c>
      <c r="I21" s="232">
        <v>0</v>
      </c>
      <c r="J21" s="232">
        <v>0</v>
      </c>
      <c r="K21" s="235">
        <v>11</v>
      </c>
      <c r="L21" s="235">
        <v>1</v>
      </c>
      <c r="M21" s="235"/>
    </row>
    <row r="22" spans="1:13">
      <c r="A22" s="286" t="s">
        <v>403</v>
      </c>
      <c r="B22" s="440">
        <v>5500</v>
      </c>
      <c r="C22" s="440">
        <v>2</v>
      </c>
      <c r="D22" s="235">
        <v>4</v>
      </c>
      <c r="E22" s="232"/>
      <c r="F22" s="232"/>
      <c r="G22" s="232"/>
      <c r="H22" s="232"/>
      <c r="I22" s="232"/>
      <c r="J22" s="232">
        <v>0</v>
      </c>
      <c r="K22" s="232">
        <v>9</v>
      </c>
      <c r="L22" s="232">
        <v>3</v>
      </c>
      <c r="M22" s="232"/>
    </row>
    <row r="23" spans="1:13">
      <c r="A23" s="286" t="s">
        <v>404</v>
      </c>
      <c r="B23" s="440">
        <v>5500</v>
      </c>
      <c r="C23" s="440">
        <v>2</v>
      </c>
      <c r="D23" s="235">
        <v>4</v>
      </c>
      <c r="E23" s="232"/>
      <c r="F23" s="232"/>
      <c r="G23" s="232"/>
      <c r="H23" s="232"/>
      <c r="I23" s="232"/>
      <c r="J23" s="232">
        <v>0</v>
      </c>
      <c r="K23" s="232">
        <v>7</v>
      </c>
      <c r="L23" s="232">
        <v>5</v>
      </c>
      <c r="M23" s="232"/>
    </row>
    <row r="24" spans="1:13">
      <c r="A24" s="369" t="s">
        <v>394</v>
      </c>
      <c r="B24" s="365">
        <v>5500</v>
      </c>
      <c r="C24" s="365">
        <v>2</v>
      </c>
      <c r="D24" s="366">
        <v>4</v>
      </c>
      <c r="E24" s="367"/>
      <c r="F24" s="367"/>
      <c r="G24" s="367"/>
      <c r="H24" s="367"/>
      <c r="I24" s="367"/>
      <c r="J24" s="367"/>
      <c r="K24" s="367">
        <v>0</v>
      </c>
      <c r="L24" s="367">
        <v>12</v>
      </c>
      <c r="M24" s="367"/>
    </row>
    <row r="25" spans="1:13">
      <c r="A25" s="286" t="s">
        <v>395</v>
      </c>
      <c r="B25" s="440">
        <v>5500</v>
      </c>
      <c r="C25" s="440">
        <v>2</v>
      </c>
      <c r="D25" s="235">
        <v>4</v>
      </c>
      <c r="E25" s="232"/>
      <c r="F25" s="232"/>
      <c r="G25" s="232"/>
      <c r="H25" s="232"/>
      <c r="I25" s="232"/>
      <c r="J25" s="232"/>
      <c r="K25" s="232">
        <v>0</v>
      </c>
      <c r="L25" s="232">
        <v>10</v>
      </c>
      <c r="M25" s="232">
        <v>2</v>
      </c>
    </row>
    <row r="26" spans="1:13">
      <c r="A26" s="286" t="s">
        <v>408</v>
      </c>
      <c r="B26" s="440">
        <v>5500</v>
      </c>
      <c r="C26" s="440">
        <v>2</v>
      </c>
      <c r="D26" s="235">
        <v>4</v>
      </c>
      <c r="E26" s="232"/>
      <c r="F26" s="232"/>
      <c r="G26" s="232"/>
      <c r="H26" s="232"/>
      <c r="I26" s="232"/>
      <c r="J26" s="232"/>
      <c r="K26" s="232"/>
      <c r="L26" s="232">
        <v>8</v>
      </c>
      <c r="M26" s="232">
        <v>4</v>
      </c>
    </row>
    <row r="27" spans="1:13">
      <c r="A27" s="286" t="s">
        <v>734</v>
      </c>
      <c r="B27" s="440">
        <v>5500</v>
      </c>
      <c r="C27" s="440">
        <v>2</v>
      </c>
      <c r="D27" s="235">
        <v>4</v>
      </c>
      <c r="E27" s="232"/>
      <c r="F27" s="232"/>
      <c r="G27" s="232"/>
      <c r="H27" s="232"/>
      <c r="I27" s="232"/>
      <c r="J27" s="232"/>
      <c r="K27" s="232"/>
      <c r="L27" s="232">
        <v>6</v>
      </c>
      <c r="M27" s="232">
        <v>6</v>
      </c>
    </row>
    <row r="28" spans="1:13">
      <c r="A28" s="369" t="s">
        <v>735</v>
      </c>
      <c r="B28" s="365">
        <v>5500</v>
      </c>
      <c r="C28" s="365">
        <v>2</v>
      </c>
      <c r="D28" s="366">
        <v>4</v>
      </c>
      <c r="E28" s="367"/>
      <c r="F28" s="367"/>
      <c r="G28" s="367"/>
      <c r="H28" s="367"/>
      <c r="I28" s="367"/>
      <c r="J28" s="367"/>
      <c r="K28" s="367"/>
      <c r="L28" s="367"/>
      <c r="M28" s="367">
        <v>11</v>
      </c>
    </row>
    <row r="29" spans="1:13">
      <c r="A29" s="286" t="s">
        <v>736</v>
      </c>
      <c r="B29" s="440">
        <v>5500</v>
      </c>
      <c r="C29" s="440">
        <v>2</v>
      </c>
      <c r="D29" s="235">
        <v>4</v>
      </c>
      <c r="E29" s="232"/>
      <c r="F29" s="232"/>
      <c r="G29" s="232"/>
      <c r="H29" s="232"/>
      <c r="I29" s="232"/>
      <c r="J29" s="232"/>
      <c r="K29" s="232"/>
      <c r="L29" s="232"/>
      <c r="M29" s="232">
        <v>9</v>
      </c>
    </row>
    <row r="30" spans="1:13">
      <c r="A30" s="286" t="s">
        <v>737</v>
      </c>
      <c r="B30" s="440">
        <v>5500</v>
      </c>
      <c r="C30" s="440">
        <v>2</v>
      </c>
      <c r="D30" s="235">
        <v>4</v>
      </c>
      <c r="E30" s="232"/>
      <c r="F30" s="232"/>
      <c r="G30" s="232"/>
      <c r="H30" s="232"/>
      <c r="I30" s="232"/>
      <c r="J30" s="232"/>
      <c r="K30" s="232"/>
      <c r="L30" s="232"/>
      <c r="M30" s="232">
        <v>7</v>
      </c>
    </row>
    <row r="31" spans="1:13">
      <c r="A31" s="286" t="s">
        <v>738</v>
      </c>
      <c r="B31" s="440">
        <v>5500</v>
      </c>
      <c r="C31" s="440">
        <v>2</v>
      </c>
      <c r="D31" s="235">
        <v>4</v>
      </c>
      <c r="E31" s="232"/>
      <c r="F31" s="232"/>
      <c r="G31" s="232"/>
      <c r="H31" s="232"/>
      <c r="I31" s="232"/>
      <c r="J31" s="232"/>
      <c r="K31" s="232"/>
      <c r="L31" s="232"/>
      <c r="M31" s="232">
        <v>5</v>
      </c>
    </row>
    <row r="32" spans="1:13">
      <c r="A32" s="286"/>
      <c r="B32" s="440"/>
      <c r="C32" s="440"/>
      <c r="D32" s="235"/>
      <c r="E32" s="232"/>
      <c r="F32" s="232"/>
      <c r="G32" s="232"/>
      <c r="H32" s="232"/>
      <c r="I32" s="232"/>
      <c r="J32" s="232"/>
      <c r="K32" s="232"/>
      <c r="L32" s="232"/>
      <c r="M32" s="232"/>
    </row>
    <row r="33" spans="1:13">
      <c r="A33" s="233" t="s">
        <v>396</v>
      </c>
      <c r="B33" s="232"/>
      <c r="C33" s="232"/>
      <c r="D33" s="232"/>
      <c r="E33" s="232">
        <f>+SUM(E7:E25)</f>
        <v>0</v>
      </c>
      <c r="F33" s="232">
        <f t="shared" ref="F33:L33" si="0">+SUM(F8:F32)</f>
        <v>0</v>
      </c>
      <c r="G33" s="232">
        <f t="shared" si="0"/>
        <v>6</v>
      </c>
      <c r="H33" s="232">
        <f t="shared" si="0"/>
        <v>44</v>
      </c>
      <c r="I33" s="232">
        <f t="shared" si="0"/>
        <v>44</v>
      </c>
      <c r="J33" s="232">
        <f t="shared" si="0"/>
        <v>45</v>
      </c>
      <c r="K33" s="232">
        <f t="shared" si="0"/>
        <v>44</v>
      </c>
      <c r="L33" s="232">
        <f t="shared" si="0"/>
        <v>45</v>
      </c>
      <c r="M33" s="232">
        <f>+SUM(M8:M32)</f>
        <v>44</v>
      </c>
    </row>
    <row r="34" spans="1:13">
      <c r="A34" s="370" t="s">
        <v>367</v>
      </c>
      <c r="B34" s="371"/>
      <c r="C34" s="371"/>
      <c r="D34" s="371"/>
      <c r="E34" s="372">
        <v>0</v>
      </c>
      <c r="F34" s="372">
        <v>1</v>
      </c>
      <c r="G34" s="372">
        <v>1</v>
      </c>
      <c r="H34" s="372">
        <v>1</v>
      </c>
      <c r="I34" s="372">
        <v>1</v>
      </c>
      <c r="J34" s="372">
        <v>1</v>
      </c>
      <c r="K34" s="372">
        <v>1</v>
      </c>
      <c r="L34" s="372">
        <v>1</v>
      </c>
      <c r="M34" s="372">
        <v>1</v>
      </c>
    </row>
    <row r="35" spans="1:13">
      <c r="A35" s="373" t="s">
        <v>396</v>
      </c>
      <c r="B35" s="374"/>
      <c r="C35" s="374"/>
      <c r="D35" s="374"/>
      <c r="E35" s="375">
        <f t="shared" ref="E35:K35" si="1">+E33*E34</f>
        <v>0</v>
      </c>
      <c r="F35" s="375">
        <f t="shared" si="1"/>
        <v>0</v>
      </c>
      <c r="G35" s="375">
        <f t="shared" si="1"/>
        <v>6</v>
      </c>
      <c r="H35" s="375">
        <f t="shared" si="1"/>
        <v>44</v>
      </c>
      <c r="I35" s="375">
        <f t="shared" si="1"/>
        <v>44</v>
      </c>
      <c r="J35" s="375">
        <f t="shared" si="1"/>
        <v>45</v>
      </c>
      <c r="K35" s="375">
        <f t="shared" si="1"/>
        <v>44</v>
      </c>
      <c r="L35" s="375">
        <f t="shared" ref="L35:M35" si="2">+L33*L34</f>
        <v>45</v>
      </c>
      <c r="M35" s="375">
        <f t="shared" si="2"/>
        <v>44</v>
      </c>
    </row>
    <row r="36" spans="1:13">
      <c r="A36" s="370"/>
      <c r="B36" s="371"/>
      <c r="C36" s="371"/>
      <c r="D36" s="371"/>
      <c r="E36" s="371"/>
      <c r="F36" s="371"/>
      <c r="G36" s="371"/>
      <c r="H36" s="371"/>
      <c r="I36" s="371"/>
      <c r="J36" s="371"/>
      <c r="K36" s="371"/>
      <c r="L36" s="371"/>
      <c r="M36" s="371"/>
    </row>
    <row r="37" spans="1:13">
      <c r="A37" s="370"/>
      <c r="B37" s="371"/>
      <c r="C37" s="371"/>
      <c r="D37" s="371"/>
      <c r="E37" s="371"/>
      <c r="F37" s="371"/>
      <c r="G37" s="371"/>
      <c r="H37" s="371"/>
      <c r="I37" s="371"/>
      <c r="J37" s="371"/>
      <c r="K37" s="371"/>
      <c r="L37" s="371"/>
      <c r="M37" s="371"/>
    </row>
    <row r="38" spans="1:13">
      <c r="A38" s="370"/>
      <c r="B38" s="371"/>
      <c r="C38" s="371"/>
      <c r="D38" s="371"/>
      <c r="E38" s="371"/>
      <c r="F38" s="371"/>
      <c r="G38" s="371"/>
      <c r="H38" s="371"/>
      <c r="I38" s="371"/>
      <c r="J38" s="371"/>
      <c r="K38" s="371"/>
      <c r="L38" s="371"/>
      <c r="M38" s="371"/>
    </row>
    <row r="39" spans="1:13">
      <c r="A39" s="370" t="s">
        <v>151</v>
      </c>
      <c r="B39" s="371"/>
      <c r="C39" s="371"/>
      <c r="D39" s="371"/>
      <c r="E39" s="371"/>
      <c r="F39" s="371"/>
      <c r="G39" s="371"/>
      <c r="H39" s="371"/>
      <c r="I39" s="371"/>
      <c r="J39" s="371"/>
      <c r="K39" s="371"/>
      <c r="L39" s="371"/>
      <c r="M39" s="371"/>
    </row>
    <row r="40" spans="1:13">
      <c r="A40" s="229"/>
      <c r="B40" s="237"/>
      <c r="C40" s="237"/>
      <c r="D40" s="237"/>
      <c r="E40" s="237"/>
      <c r="F40" s="237"/>
      <c r="G40" s="237"/>
      <c r="H40" s="237"/>
      <c r="I40" s="237"/>
      <c r="J40" s="237"/>
      <c r="K40" s="237"/>
      <c r="L40" s="237"/>
      <c r="M40" s="237"/>
    </row>
    <row r="41" spans="1:13" ht="31">
      <c r="A41" s="239" t="s">
        <v>251</v>
      </c>
      <c r="B41" s="237"/>
      <c r="C41" s="237"/>
      <c r="D41" s="237"/>
      <c r="E41" s="237">
        <v>300</v>
      </c>
      <c r="F41" s="237">
        <v>300</v>
      </c>
      <c r="G41" s="237">
        <v>300</v>
      </c>
      <c r="H41" s="237">
        <v>300</v>
      </c>
      <c r="I41" s="237">
        <v>300</v>
      </c>
      <c r="J41" s="237">
        <v>300</v>
      </c>
      <c r="K41" s="237">
        <v>300</v>
      </c>
      <c r="L41" s="237">
        <v>300</v>
      </c>
      <c r="M41" s="237">
        <v>300</v>
      </c>
    </row>
    <row r="42" spans="1:13">
      <c r="A42" s="229" t="s">
        <v>252</v>
      </c>
      <c r="B42" s="237"/>
      <c r="C42" s="237"/>
      <c r="D42" s="237"/>
      <c r="E42" s="299">
        <v>0.7</v>
      </c>
      <c r="F42" s="299">
        <v>0.7</v>
      </c>
      <c r="G42" s="299">
        <v>0.7</v>
      </c>
      <c r="H42" s="299">
        <v>0.7</v>
      </c>
      <c r="I42" s="299">
        <v>0.7</v>
      </c>
      <c r="J42" s="299">
        <v>0.7</v>
      </c>
      <c r="K42" s="299">
        <v>0.7</v>
      </c>
      <c r="L42" s="299">
        <v>0.7</v>
      </c>
      <c r="M42" s="299">
        <v>0.7</v>
      </c>
    </row>
    <row r="43" spans="1:13">
      <c r="A43" s="239" t="s">
        <v>143</v>
      </c>
      <c r="B43" s="237"/>
      <c r="C43" s="237"/>
      <c r="D43" s="237"/>
      <c r="E43" s="237">
        <f>+E41*E42</f>
        <v>210</v>
      </c>
      <c r="F43" s="237">
        <f t="shared" ref="F43:K43" si="3">+F41*F42</f>
        <v>210</v>
      </c>
      <c r="G43" s="237">
        <f t="shared" si="3"/>
        <v>210</v>
      </c>
      <c r="H43" s="237">
        <f t="shared" si="3"/>
        <v>210</v>
      </c>
      <c r="I43" s="237">
        <f t="shared" si="3"/>
        <v>210</v>
      </c>
      <c r="J43" s="237">
        <f t="shared" si="3"/>
        <v>210</v>
      </c>
      <c r="K43" s="237">
        <f t="shared" si="3"/>
        <v>210</v>
      </c>
      <c r="L43" s="237">
        <f t="shared" ref="L43:M43" si="4">+L41*L42</f>
        <v>210</v>
      </c>
      <c r="M43" s="237">
        <f t="shared" si="4"/>
        <v>210</v>
      </c>
    </row>
    <row r="44" spans="1:13">
      <c r="A44" s="239" t="s">
        <v>144</v>
      </c>
      <c r="B44" s="36"/>
      <c r="C44" s="36"/>
      <c r="D44" s="36"/>
      <c r="E44" s="36">
        <f>+E43/11.5</f>
        <v>18.260869565217391</v>
      </c>
      <c r="F44" s="36">
        <f t="shared" ref="F44:K44" si="5">+F43/11.5</f>
        <v>18.260869565217391</v>
      </c>
      <c r="G44" s="36">
        <f t="shared" si="5"/>
        <v>18.260869565217391</v>
      </c>
      <c r="H44" s="36">
        <f t="shared" si="5"/>
        <v>18.260869565217391</v>
      </c>
      <c r="I44" s="36">
        <f t="shared" si="5"/>
        <v>18.260869565217391</v>
      </c>
      <c r="J44" s="36">
        <f t="shared" si="5"/>
        <v>18.260869565217391</v>
      </c>
      <c r="K44" s="36">
        <f t="shared" si="5"/>
        <v>18.260869565217391</v>
      </c>
      <c r="L44" s="36">
        <f t="shared" ref="L44:M44" si="6">+L43/11.5</f>
        <v>18.260869565217391</v>
      </c>
      <c r="M44" s="36">
        <f t="shared" si="6"/>
        <v>18.260869565217391</v>
      </c>
    </row>
    <row r="45" spans="1:13">
      <c r="A45" s="229"/>
      <c r="B45" s="36"/>
      <c r="C45" s="36"/>
      <c r="D45" s="36"/>
      <c r="E45" s="36"/>
      <c r="F45" s="36"/>
      <c r="G45" s="36"/>
      <c r="H45" s="36"/>
      <c r="I45" s="36"/>
      <c r="J45" s="36"/>
      <c r="K45" s="36"/>
      <c r="L45" s="36"/>
      <c r="M45" s="36"/>
    </row>
    <row r="46" spans="1:13">
      <c r="A46" s="229" t="s">
        <v>145</v>
      </c>
      <c r="B46" s="36"/>
      <c r="C46" s="36"/>
      <c r="D46" s="36"/>
      <c r="E46" s="238">
        <f>+E33*E44*7333.33333</f>
        <v>0</v>
      </c>
      <c r="F46" s="238">
        <f t="shared" ref="F46:K46" si="7">+F35*F44*5500</f>
        <v>0</v>
      </c>
      <c r="G46" s="238">
        <f t="shared" si="7"/>
        <v>602608.69565217395</v>
      </c>
      <c r="H46" s="238">
        <f t="shared" si="7"/>
        <v>4419130.4347826084</v>
      </c>
      <c r="I46" s="238">
        <f t="shared" si="7"/>
        <v>4419130.4347826084</v>
      </c>
      <c r="J46" s="238">
        <f t="shared" si="7"/>
        <v>4519565.2173913047</v>
      </c>
      <c r="K46" s="238">
        <f t="shared" si="7"/>
        <v>4419130.4347826084</v>
      </c>
      <c r="L46" s="238">
        <f t="shared" ref="L46:M46" si="8">+L35*L44*5500</f>
        <v>4519565.2173913047</v>
      </c>
      <c r="M46" s="238">
        <f t="shared" si="8"/>
        <v>4419130.4347826084</v>
      </c>
    </row>
    <row r="47" spans="1:13">
      <c r="A47" s="229" t="s">
        <v>185</v>
      </c>
      <c r="B47" s="36"/>
      <c r="C47" s="36"/>
      <c r="D47" s="36"/>
      <c r="E47" s="279">
        <v>0.15</v>
      </c>
      <c r="F47" s="279">
        <v>0.15</v>
      </c>
      <c r="G47" s="279">
        <v>0.15</v>
      </c>
      <c r="H47" s="279">
        <v>0.15</v>
      </c>
      <c r="I47" s="279">
        <v>0.15</v>
      </c>
      <c r="J47" s="279">
        <v>0.15</v>
      </c>
      <c r="K47" s="279">
        <v>0.15</v>
      </c>
      <c r="L47" s="279">
        <v>0.15</v>
      </c>
      <c r="M47" s="279">
        <v>0.15</v>
      </c>
    </row>
    <row r="48" spans="1:13">
      <c r="A48" s="229" t="s">
        <v>148</v>
      </c>
      <c r="B48" s="36"/>
      <c r="C48" s="36"/>
      <c r="D48" s="36"/>
      <c r="E48" s="238">
        <f>+E46*85%</f>
        <v>0</v>
      </c>
      <c r="F48" s="238">
        <f t="shared" ref="F48:K48" si="9">+F46*85%</f>
        <v>0</v>
      </c>
      <c r="G48" s="238">
        <f t="shared" si="9"/>
        <v>512217.39130434784</v>
      </c>
      <c r="H48" s="238">
        <f t="shared" si="9"/>
        <v>3756260.8695652168</v>
      </c>
      <c r="I48" s="238">
        <f t="shared" si="9"/>
        <v>3756260.8695652168</v>
      </c>
      <c r="J48" s="238">
        <f t="shared" si="9"/>
        <v>3841630.4347826089</v>
      </c>
      <c r="K48" s="238">
        <f t="shared" si="9"/>
        <v>3756260.8695652168</v>
      </c>
      <c r="L48" s="238">
        <f t="shared" ref="L48:M48" si="10">+L46*85%</f>
        <v>3841630.4347826089</v>
      </c>
      <c r="M48" s="238">
        <f t="shared" si="10"/>
        <v>3756260.8695652168</v>
      </c>
    </row>
    <row r="49" spans="1:13">
      <c r="A49" s="229" t="s">
        <v>186</v>
      </c>
      <c r="B49" s="36"/>
      <c r="C49" s="36"/>
      <c r="D49" s="36"/>
      <c r="E49" s="279">
        <v>0.03</v>
      </c>
      <c r="F49" s="279">
        <v>0.03</v>
      </c>
      <c r="G49" s="279">
        <v>0.03</v>
      </c>
      <c r="H49" s="279">
        <v>0.03</v>
      </c>
      <c r="I49" s="279">
        <v>0.03</v>
      </c>
      <c r="J49" s="279">
        <v>0.03</v>
      </c>
      <c r="K49" s="279">
        <v>0.03</v>
      </c>
      <c r="L49" s="279">
        <v>0.03</v>
      </c>
      <c r="M49" s="279">
        <v>0.03</v>
      </c>
    </row>
    <row r="50" spans="1:13">
      <c r="A50" s="370" t="s">
        <v>149</v>
      </c>
      <c r="B50" s="376"/>
      <c r="C50" s="376"/>
      <c r="D50" s="376"/>
      <c r="E50" s="377">
        <f>+E48*0.97</f>
        <v>0</v>
      </c>
      <c r="F50" s="377">
        <f t="shared" ref="F50:K50" si="11">+F48*0.97</f>
        <v>0</v>
      </c>
      <c r="G50" s="377">
        <f t="shared" si="11"/>
        <v>496850.86956521741</v>
      </c>
      <c r="H50" s="377">
        <f t="shared" si="11"/>
        <v>3643573.0434782603</v>
      </c>
      <c r="I50" s="377">
        <f t="shared" si="11"/>
        <v>3643573.0434782603</v>
      </c>
      <c r="J50" s="377">
        <f t="shared" si="11"/>
        <v>3726381.5217391304</v>
      </c>
      <c r="K50" s="377">
        <f t="shared" si="11"/>
        <v>3643573.0434782603</v>
      </c>
      <c r="L50" s="377">
        <f t="shared" ref="L50:M50" si="12">+L48*0.97</f>
        <v>3726381.5217391304</v>
      </c>
      <c r="M50" s="377">
        <f t="shared" si="12"/>
        <v>3643573.0434782603</v>
      </c>
    </row>
    <row r="51" spans="1:13">
      <c r="A51" s="370" t="s">
        <v>264</v>
      </c>
      <c r="B51" s="376"/>
      <c r="C51" s="376"/>
      <c r="D51" s="376"/>
      <c r="E51" s="378">
        <v>1</v>
      </c>
      <c r="F51" s="378">
        <v>1</v>
      </c>
      <c r="G51" s="378">
        <v>1</v>
      </c>
      <c r="H51" s="378">
        <v>1</v>
      </c>
      <c r="I51" s="378">
        <v>1</v>
      </c>
      <c r="J51" s="378">
        <v>1</v>
      </c>
      <c r="K51" s="378">
        <v>1</v>
      </c>
      <c r="L51" s="378">
        <v>1</v>
      </c>
      <c r="M51" s="378">
        <v>1</v>
      </c>
    </row>
    <row r="52" spans="1:13">
      <c r="A52" s="370" t="s">
        <v>269</v>
      </c>
      <c r="B52" s="376"/>
      <c r="C52" s="376"/>
      <c r="D52" s="376"/>
      <c r="E52" s="379">
        <f>+E50*E51</f>
        <v>0</v>
      </c>
      <c r="F52" s="379">
        <f t="shared" ref="F52:K52" si="13">+F50*F51</f>
        <v>0</v>
      </c>
      <c r="G52" s="379">
        <f t="shared" si="13"/>
        <v>496850.86956521741</v>
      </c>
      <c r="H52" s="379">
        <f t="shared" si="13"/>
        <v>3643573.0434782603</v>
      </c>
      <c r="I52" s="379">
        <f t="shared" si="13"/>
        <v>3643573.0434782603</v>
      </c>
      <c r="J52" s="379">
        <f t="shared" si="13"/>
        <v>3726381.5217391304</v>
      </c>
      <c r="K52" s="379">
        <f t="shared" si="13"/>
        <v>3643573.0434782603</v>
      </c>
      <c r="L52" s="379">
        <f t="shared" ref="L52:M52" si="14">+L50*L51</f>
        <v>3726381.5217391304</v>
      </c>
      <c r="M52" s="379">
        <f t="shared" si="14"/>
        <v>3643573.0434782603</v>
      </c>
    </row>
    <row r="53" spans="1:13">
      <c r="A53" s="370" t="s">
        <v>150</v>
      </c>
      <c r="B53" s="376"/>
      <c r="C53" s="376"/>
      <c r="D53" s="376"/>
      <c r="E53" s="377">
        <v>32.5</v>
      </c>
      <c r="F53" s="377">
        <v>32.5</v>
      </c>
      <c r="G53" s="377">
        <v>32.5</v>
      </c>
      <c r="H53" s="377">
        <v>32.5</v>
      </c>
      <c r="I53" s="377">
        <v>32.5</v>
      </c>
      <c r="J53" s="377">
        <v>32.5</v>
      </c>
      <c r="K53" s="377">
        <v>32.5</v>
      </c>
      <c r="L53" s="377">
        <v>32.5</v>
      </c>
      <c r="M53" s="377">
        <v>32.5</v>
      </c>
    </row>
    <row r="54" spans="1:13">
      <c r="A54" s="229"/>
      <c r="B54" s="36"/>
      <c r="C54" s="36"/>
      <c r="D54" s="36"/>
      <c r="E54" s="238"/>
      <c r="F54" s="238"/>
      <c r="G54" s="238"/>
      <c r="H54" s="238"/>
      <c r="I54" s="238"/>
      <c r="J54" s="238"/>
      <c r="K54" s="238"/>
      <c r="L54" s="238"/>
      <c r="M54" s="238"/>
    </row>
    <row r="55" spans="1:13">
      <c r="A55" s="380" t="s">
        <v>152</v>
      </c>
      <c r="B55" s="381"/>
      <c r="C55" s="381"/>
      <c r="D55" s="381"/>
      <c r="E55" s="381">
        <f>+E52*E53/10^5</f>
        <v>0</v>
      </c>
      <c r="F55" s="381">
        <f t="shared" ref="F55:K55" si="15">+F52*F53/10^5</f>
        <v>0</v>
      </c>
      <c r="G55" s="381">
        <f t="shared" si="15"/>
        <v>161.47653260869566</v>
      </c>
      <c r="H55" s="381">
        <f t="shared" si="15"/>
        <v>1184.1612391304345</v>
      </c>
      <c r="I55" s="381">
        <f t="shared" si="15"/>
        <v>1184.1612391304345</v>
      </c>
      <c r="J55" s="381">
        <f t="shared" si="15"/>
        <v>1211.0739945652174</v>
      </c>
      <c r="K55" s="381">
        <f t="shared" si="15"/>
        <v>1184.1612391304345</v>
      </c>
      <c r="L55" s="381">
        <f t="shared" ref="L55:M55" si="16">+L52*L53/10^5</f>
        <v>1211.0739945652174</v>
      </c>
      <c r="M55" s="381">
        <f t="shared" si="16"/>
        <v>1184.1612391304345</v>
      </c>
    </row>
    <row r="56" spans="1:13">
      <c r="A56" s="229"/>
      <c r="B56" s="36"/>
      <c r="C56" s="36"/>
      <c r="D56" s="36"/>
      <c r="E56" s="36"/>
      <c r="F56" s="36"/>
      <c r="G56" s="36"/>
      <c r="H56" s="36"/>
      <c r="I56" s="36"/>
      <c r="J56" s="36"/>
      <c r="K56" s="36"/>
      <c r="L56" s="36"/>
      <c r="M56" s="36"/>
    </row>
    <row r="57" spans="1:13">
      <c r="A57" s="370" t="s">
        <v>153</v>
      </c>
      <c r="B57" s="376"/>
      <c r="C57" s="376"/>
      <c r="D57" s="376"/>
      <c r="E57" s="376"/>
      <c r="F57" s="376"/>
      <c r="G57" s="376"/>
      <c r="H57" s="376"/>
      <c r="I57" s="376"/>
      <c r="J57" s="376"/>
      <c r="K57" s="376"/>
      <c r="L57" s="376"/>
      <c r="M57" s="376"/>
    </row>
    <row r="58" spans="1:13" ht="31">
      <c r="A58" s="239" t="s">
        <v>253</v>
      </c>
      <c r="B58" s="237"/>
      <c r="C58" s="237"/>
      <c r="D58" s="237"/>
      <c r="E58" s="237">
        <v>30</v>
      </c>
      <c r="F58" s="237">
        <v>30</v>
      </c>
      <c r="G58" s="237">
        <v>30</v>
      </c>
      <c r="H58" s="237">
        <v>30</v>
      </c>
      <c r="I58" s="237">
        <v>30</v>
      </c>
      <c r="J58" s="237">
        <v>30</v>
      </c>
      <c r="K58" s="237">
        <v>30</v>
      </c>
      <c r="L58" s="237">
        <v>30</v>
      </c>
      <c r="M58" s="237">
        <v>30</v>
      </c>
    </row>
    <row r="59" spans="1:13">
      <c r="A59" s="229" t="s">
        <v>252</v>
      </c>
      <c r="B59" s="237"/>
      <c r="C59" s="237"/>
      <c r="D59" s="237"/>
      <c r="E59" s="298">
        <v>0.4</v>
      </c>
      <c r="F59" s="298">
        <v>0.4</v>
      </c>
      <c r="G59" s="298">
        <v>0.4</v>
      </c>
      <c r="H59" s="298">
        <v>0.4</v>
      </c>
      <c r="I59" s="298">
        <v>0.4</v>
      </c>
      <c r="J59" s="298">
        <v>0.4</v>
      </c>
      <c r="K59" s="298">
        <v>0.4</v>
      </c>
      <c r="L59" s="298">
        <v>0.4</v>
      </c>
      <c r="M59" s="298">
        <v>0.4</v>
      </c>
    </row>
    <row r="60" spans="1:13">
      <c r="A60" s="239" t="s">
        <v>146</v>
      </c>
      <c r="B60" s="237"/>
      <c r="C60" s="237"/>
      <c r="D60" s="237"/>
      <c r="E60" s="237">
        <f>+E58*E59</f>
        <v>12</v>
      </c>
      <c r="F60" s="237">
        <f t="shared" ref="F60:K60" si="17">+F58*F59</f>
        <v>12</v>
      </c>
      <c r="G60" s="237">
        <f t="shared" si="17"/>
        <v>12</v>
      </c>
      <c r="H60" s="237">
        <f t="shared" si="17"/>
        <v>12</v>
      </c>
      <c r="I60" s="237">
        <f t="shared" si="17"/>
        <v>12</v>
      </c>
      <c r="J60" s="237">
        <f t="shared" si="17"/>
        <v>12</v>
      </c>
      <c r="K60" s="237">
        <f t="shared" si="17"/>
        <v>12</v>
      </c>
      <c r="L60" s="237">
        <f t="shared" ref="L60:M60" si="18">+L58*L59</f>
        <v>12</v>
      </c>
      <c r="M60" s="237">
        <f t="shared" si="18"/>
        <v>12</v>
      </c>
    </row>
    <row r="61" spans="1:13">
      <c r="A61" s="239" t="s">
        <v>147</v>
      </c>
      <c r="B61" s="36"/>
      <c r="C61" s="36"/>
      <c r="D61" s="36"/>
      <c r="E61" s="36">
        <f>+E60/11.5</f>
        <v>1.0434782608695652</v>
      </c>
      <c r="F61" s="36">
        <f t="shared" ref="F61:K61" si="19">+F60/11.5</f>
        <v>1.0434782608695652</v>
      </c>
      <c r="G61" s="36">
        <f t="shared" si="19"/>
        <v>1.0434782608695652</v>
      </c>
      <c r="H61" s="36">
        <f t="shared" si="19"/>
        <v>1.0434782608695652</v>
      </c>
      <c r="I61" s="36">
        <f t="shared" si="19"/>
        <v>1.0434782608695652</v>
      </c>
      <c r="J61" s="36">
        <f t="shared" si="19"/>
        <v>1.0434782608695652</v>
      </c>
      <c r="K61" s="36">
        <f t="shared" si="19"/>
        <v>1.0434782608695652</v>
      </c>
      <c r="L61" s="36">
        <f t="shared" ref="L61:M61" si="20">+L60/11.5</f>
        <v>1.0434782608695652</v>
      </c>
      <c r="M61" s="36">
        <f t="shared" si="20"/>
        <v>1.0434782608695652</v>
      </c>
    </row>
    <row r="62" spans="1:13">
      <c r="A62" s="229"/>
      <c r="B62" s="36"/>
      <c r="C62" s="36"/>
      <c r="D62" s="36"/>
      <c r="E62" s="36"/>
      <c r="F62" s="36"/>
      <c r="G62" s="36"/>
      <c r="H62" s="36"/>
      <c r="I62" s="36"/>
      <c r="J62" s="36"/>
      <c r="K62" s="36"/>
      <c r="L62" s="36"/>
      <c r="M62" s="36"/>
    </row>
    <row r="63" spans="1:13">
      <c r="A63" s="370" t="s">
        <v>154</v>
      </c>
      <c r="B63" s="376"/>
      <c r="C63" s="376"/>
      <c r="D63" s="376"/>
      <c r="E63" s="377">
        <f>+E33*E61*7333.33333</f>
        <v>0</v>
      </c>
      <c r="F63" s="377">
        <f t="shared" ref="F63:K63" si="21">+F35*F61*5500</f>
        <v>0</v>
      </c>
      <c r="G63" s="377">
        <f t="shared" si="21"/>
        <v>34434.782608695648</v>
      </c>
      <c r="H63" s="377">
        <f t="shared" si="21"/>
        <v>252521.73913043478</v>
      </c>
      <c r="I63" s="377">
        <f t="shared" si="21"/>
        <v>252521.73913043478</v>
      </c>
      <c r="J63" s="377">
        <f t="shared" si="21"/>
        <v>258260.86956521738</v>
      </c>
      <c r="K63" s="377">
        <f t="shared" si="21"/>
        <v>252521.73913043478</v>
      </c>
      <c r="L63" s="377">
        <f t="shared" ref="L63:M63" si="22">+L35*L61*5500</f>
        <v>258260.86956521738</v>
      </c>
      <c r="M63" s="377">
        <f t="shared" si="22"/>
        <v>252521.73913043478</v>
      </c>
    </row>
    <row r="64" spans="1:13">
      <c r="A64" s="370" t="s">
        <v>155</v>
      </c>
      <c r="B64" s="376"/>
      <c r="C64" s="376"/>
      <c r="D64" s="376"/>
      <c r="E64" s="376">
        <v>3</v>
      </c>
      <c r="F64" s="376">
        <v>3</v>
      </c>
      <c r="G64" s="376">
        <v>3</v>
      </c>
      <c r="H64" s="376">
        <v>3</v>
      </c>
      <c r="I64" s="376">
        <v>3</v>
      </c>
      <c r="J64" s="376">
        <v>3</v>
      </c>
      <c r="K64" s="376">
        <v>3</v>
      </c>
      <c r="L64" s="376">
        <v>3</v>
      </c>
      <c r="M64" s="376">
        <v>3</v>
      </c>
    </row>
    <row r="65" spans="1:13">
      <c r="A65" s="229"/>
      <c r="B65" s="36"/>
      <c r="C65" s="36"/>
      <c r="D65" s="36"/>
      <c r="E65" s="36"/>
      <c r="F65" s="36"/>
      <c r="G65" s="36"/>
      <c r="H65" s="36"/>
      <c r="I65" s="36"/>
      <c r="J65" s="36"/>
      <c r="K65" s="36"/>
      <c r="L65" s="36"/>
      <c r="M65" s="36"/>
    </row>
    <row r="66" spans="1:13">
      <c r="A66" s="380" t="s">
        <v>152</v>
      </c>
      <c r="B66" s="381"/>
      <c r="C66" s="381"/>
      <c r="D66" s="381"/>
      <c r="E66" s="381">
        <f>+E63*E64/10^5</f>
        <v>0</v>
      </c>
      <c r="F66" s="381">
        <f t="shared" ref="F66:K66" si="23">+F63*F64/10^5</f>
        <v>0</v>
      </c>
      <c r="G66" s="381">
        <f t="shared" si="23"/>
        <v>1.0330434782608695</v>
      </c>
      <c r="H66" s="381">
        <f t="shared" si="23"/>
        <v>7.5756521739130429</v>
      </c>
      <c r="I66" s="381">
        <f t="shared" si="23"/>
        <v>7.5756521739130429</v>
      </c>
      <c r="J66" s="381">
        <f t="shared" si="23"/>
        <v>7.747826086956521</v>
      </c>
      <c r="K66" s="381">
        <f t="shared" si="23"/>
        <v>7.5756521739130429</v>
      </c>
      <c r="L66" s="381">
        <f t="shared" ref="L66:M66" si="24">+L63*L64/10^5</f>
        <v>7.747826086956521</v>
      </c>
      <c r="M66" s="381">
        <f t="shared" si="24"/>
        <v>7.5756521739130429</v>
      </c>
    </row>
    <row r="67" spans="1:13">
      <c r="A67" s="370"/>
      <c r="B67" s="376"/>
      <c r="C67" s="376"/>
      <c r="D67" s="376"/>
      <c r="E67" s="376"/>
      <c r="F67" s="376"/>
      <c r="G67" s="376"/>
      <c r="H67" s="376"/>
      <c r="I67" s="376"/>
      <c r="J67" s="376"/>
      <c r="K67" s="376"/>
      <c r="L67" s="376"/>
      <c r="M67" s="376"/>
    </row>
    <row r="68" spans="1:13">
      <c r="A68" s="370"/>
      <c r="B68" s="376"/>
      <c r="C68" s="376"/>
      <c r="D68" s="376"/>
      <c r="E68" s="376"/>
      <c r="F68" s="376"/>
      <c r="G68" s="376"/>
      <c r="H68" s="376"/>
      <c r="I68" s="376"/>
      <c r="J68" s="376"/>
      <c r="K68" s="376"/>
      <c r="L68" s="376"/>
      <c r="M68" s="376"/>
    </row>
    <row r="69" spans="1:13">
      <c r="A69" s="370" t="s">
        <v>265</v>
      </c>
      <c r="B69" s="371"/>
      <c r="C69" s="371"/>
      <c r="D69" s="371"/>
      <c r="E69" s="371"/>
      <c r="F69" s="371"/>
      <c r="G69" s="371"/>
      <c r="H69" s="371"/>
      <c r="I69" s="371"/>
      <c r="J69" s="371"/>
      <c r="K69" s="371"/>
      <c r="L69" s="371"/>
      <c r="M69" s="371"/>
    </row>
    <row r="70" spans="1:13">
      <c r="A70" s="229"/>
      <c r="B70" s="237"/>
      <c r="C70" s="237"/>
      <c r="D70" s="237"/>
      <c r="E70" s="237"/>
      <c r="F70" s="237"/>
      <c r="G70" s="237"/>
      <c r="H70" s="237"/>
      <c r="I70" s="237"/>
      <c r="J70" s="237"/>
      <c r="K70" s="237"/>
      <c r="L70" s="237"/>
      <c r="M70" s="237"/>
    </row>
    <row r="71" spans="1:13">
      <c r="A71" s="229" t="str">
        <f>+A50</f>
        <v>Sale after FR and WK@ 3%</v>
      </c>
      <c r="B71" s="237"/>
      <c r="C71" s="237"/>
      <c r="D71" s="237"/>
      <c r="E71" s="304">
        <f>+E50</f>
        <v>0</v>
      </c>
      <c r="F71" s="304">
        <f t="shared" ref="F71:K71" si="25">+F50</f>
        <v>0</v>
      </c>
      <c r="G71" s="304">
        <f t="shared" si="25"/>
        <v>496850.86956521741</v>
      </c>
      <c r="H71" s="304">
        <f t="shared" si="25"/>
        <v>3643573.0434782603</v>
      </c>
      <c r="I71" s="304">
        <f t="shared" si="25"/>
        <v>3643573.0434782603</v>
      </c>
      <c r="J71" s="304">
        <f t="shared" si="25"/>
        <v>3726381.5217391304</v>
      </c>
      <c r="K71" s="304">
        <f t="shared" si="25"/>
        <v>3643573.0434782603</v>
      </c>
      <c r="L71" s="304">
        <f t="shared" ref="L71:M71" si="26">+L50</f>
        <v>3726381.5217391304</v>
      </c>
      <c r="M71" s="304">
        <f t="shared" si="26"/>
        <v>3643573.0434782603</v>
      </c>
    </row>
    <row r="72" spans="1:13" ht="31">
      <c r="A72" s="229" t="s">
        <v>266</v>
      </c>
      <c r="B72" s="237"/>
      <c r="C72" s="237"/>
      <c r="D72" s="237"/>
      <c r="E72" s="298">
        <v>0</v>
      </c>
      <c r="F72" s="298">
        <v>0</v>
      </c>
      <c r="G72" s="298">
        <v>0</v>
      </c>
      <c r="H72" s="298">
        <v>0</v>
      </c>
      <c r="I72" s="298">
        <v>0</v>
      </c>
      <c r="J72" s="298">
        <v>0</v>
      </c>
      <c r="K72" s="298">
        <v>0</v>
      </c>
      <c r="L72" s="298">
        <v>0</v>
      </c>
      <c r="M72" s="298">
        <v>0</v>
      </c>
    </row>
    <row r="73" spans="1:13">
      <c r="A73" s="229" t="s">
        <v>270</v>
      </c>
      <c r="B73" s="237"/>
      <c r="C73" s="237"/>
      <c r="D73" s="237"/>
      <c r="E73" s="307">
        <f>+E71*E72</f>
        <v>0</v>
      </c>
      <c r="F73" s="307">
        <f t="shared" ref="F73:K73" si="27">+F71*F72</f>
        <v>0</v>
      </c>
      <c r="G73" s="307">
        <f t="shared" si="27"/>
        <v>0</v>
      </c>
      <c r="H73" s="307">
        <f t="shared" si="27"/>
        <v>0</v>
      </c>
      <c r="I73" s="307">
        <f t="shared" si="27"/>
        <v>0</v>
      </c>
      <c r="J73" s="307">
        <f t="shared" si="27"/>
        <v>0</v>
      </c>
      <c r="K73" s="307">
        <f t="shared" si="27"/>
        <v>0</v>
      </c>
      <c r="L73" s="307">
        <f t="shared" ref="L73:M73" si="28">+L71*L72</f>
        <v>0</v>
      </c>
      <c r="M73" s="307">
        <f t="shared" si="28"/>
        <v>0</v>
      </c>
    </row>
    <row r="74" spans="1:13">
      <c r="A74" s="229" t="s">
        <v>271</v>
      </c>
      <c r="B74" s="237"/>
      <c r="C74" s="237"/>
      <c r="D74" s="237"/>
      <c r="E74" s="323">
        <v>1.5</v>
      </c>
      <c r="F74" s="323">
        <v>1.5</v>
      </c>
      <c r="G74" s="323">
        <v>1.5</v>
      </c>
      <c r="H74" s="323">
        <v>1.5</v>
      </c>
      <c r="I74" s="323">
        <v>1.5</v>
      </c>
      <c r="J74" s="323">
        <v>1.5</v>
      </c>
      <c r="K74" s="323">
        <v>1.5</v>
      </c>
      <c r="L74" s="323">
        <v>1.5</v>
      </c>
      <c r="M74" s="323">
        <v>1.5</v>
      </c>
    </row>
    <row r="75" spans="1:13">
      <c r="A75" s="229" t="s">
        <v>272</v>
      </c>
      <c r="B75" s="237"/>
      <c r="C75" s="237"/>
      <c r="D75" s="237"/>
      <c r="E75" s="307">
        <f>+E73*E74</f>
        <v>0</v>
      </c>
      <c r="F75" s="307">
        <f t="shared" ref="F75:K75" si="29">+F73*F74</f>
        <v>0</v>
      </c>
      <c r="G75" s="307">
        <f t="shared" si="29"/>
        <v>0</v>
      </c>
      <c r="H75" s="307">
        <f t="shared" si="29"/>
        <v>0</v>
      </c>
      <c r="I75" s="307">
        <f t="shared" si="29"/>
        <v>0</v>
      </c>
      <c r="J75" s="307">
        <f t="shared" si="29"/>
        <v>0</v>
      </c>
      <c r="K75" s="307">
        <f t="shared" si="29"/>
        <v>0</v>
      </c>
      <c r="L75" s="307">
        <f t="shared" ref="L75:M75" si="30">+L73*L74</f>
        <v>0</v>
      </c>
      <c r="M75" s="307">
        <f t="shared" si="30"/>
        <v>0</v>
      </c>
    </row>
    <row r="76" spans="1:13">
      <c r="A76" s="229" t="s">
        <v>273</v>
      </c>
      <c r="B76" s="237"/>
      <c r="C76" s="237"/>
      <c r="D76" s="237"/>
      <c r="E76" s="305">
        <v>80</v>
      </c>
      <c r="F76" s="305">
        <v>80</v>
      </c>
      <c r="G76" s="305">
        <v>80</v>
      </c>
      <c r="H76" s="305">
        <v>80</v>
      </c>
      <c r="I76" s="305">
        <v>80</v>
      </c>
      <c r="J76" s="305">
        <v>80</v>
      </c>
      <c r="K76" s="305">
        <v>80</v>
      </c>
      <c r="L76" s="305">
        <v>80</v>
      </c>
      <c r="M76" s="305">
        <v>80</v>
      </c>
    </row>
    <row r="77" spans="1:13">
      <c r="A77" s="229"/>
      <c r="B77" s="36"/>
      <c r="C77" s="36"/>
      <c r="D77" s="36"/>
      <c r="E77" s="238"/>
      <c r="F77" s="238"/>
      <c r="G77" s="238"/>
      <c r="H77" s="238"/>
      <c r="I77" s="238"/>
      <c r="J77" s="238"/>
      <c r="K77" s="238"/>
      <c r="L77" s="238"/>
      <c r="M77" s="238"/>
    </row>
    <row r="78" spans="1:13">
      <c r="A78" s="380" t="s">
        <v>152</v>
      </c>
      <c r="B78" s="381"/>
      <c r="C78" s="381"/>
      <c r="D78" s="381"/>
      <c r="E78" s="381">
        <f>+E75*E76/10^5</f>
        <v>0</v>
      </c>
      <c r="F78" s="381">
        <f t="shared" ref="F78:K78" si="31">+F75*F76/10^5</f>
        <v>0</v>
      </c>
      <c r="G78" s="381">
        <f t="shared" si="31"/>
        <v>0</v>
      </c>
      <c r="H78" s="381">
        <f t="shared" si="31"/>
        <v>0</v>
      </c>
      <c r="I78" s="381">
        <f t="shared" si="31"/>
        <v>0</v>
      </c>
      <c r="J78" s="381">
        <f t="shared" si="31"/>
        <v>0</v>
      </c>
      <c r="K78" s="381">
        <f t="shared" si="31"/>
        <v>0</v>
      </c>
      <c r="L78" s="381">
        <f t="shared" ref="L78:M78" si="32">+L75*L76/10^5</f>
        <v>0</v>
      </c>
      <c r="M78" s="381">
        <f t="shared" si="32"/>
        <v>0</v>
      </c>
    </row>
    <row r="79" spans="1:13">
      <c r="A79" s="229"/>
      <c r="B79" s="36"/>
      <c r="C79" s="36"/>
      <c r="D79" s="36"/>
      <c r="E79" s="36"/>
      <c r="F79" s="36"/>
      <c r="G79" s="36"/>
      <c r="H79" s="36"/>
      <c r="I79" s="36"/>
      <c r="J79" s="36"/>
      <c r="K79" s="36"/>
      <c r="L79" s="36"/>
      <c r="M79" s="36"/>
    </row>
    <row r="80" spans="1:13">
      <c r="A80" s="370" t="s">
        <v>267</v>
      </c>
      <c r="B80" s="376"/>
      <c r="C80" s="376"/>
      <c r="D80" s="376"/>
      <c r="E80" s="376">
        <f t="shared" ref="E80:K80" si="33">+E55*5%</f>
        <v>0</v>
      </c>
      <c r="F80" s="376">
        <f t="shared" si="33"/>
        <v>0</v>
      </c>
      <c r="G80" s="376">
        <f t="shared" si="33"/>
        <v>8.0738266304347839</v>
      </c>
      <c r="H80" s="376">
        <f t="shared" si="33"/>
        <v>59.208061956521732</v>
      </c>
      <c r="I80" s="376">
        <f t="shared" si="33"/>
        <v>59.208061956521732</v>
      </c>
      <c r="J80" s="376">
        <f t="shared" si="33"/>
        <v>60.553699728260874</v>
      </c>
      <c r="K80" s="376">
        <f t="shared" si="33"/>
        <v>59.208061956521732</v>
      </c>
      <c r="L80" s="376">
        <f t="shared" ref="L80:M80" si="34">+L55*5%</f>
        <v>60.553699728260874</v>
      </c>
      <c r="M80" s="376">
        <f t="shared" si="34"/>
        <v>59.208061956521732</v>
      </c>
    </row>
    <row r="81" spans="1:13">
      <c r="A81" s="370"/>
      <c r="B81" s="376"/>
      <c r="C81" s="376"/>
      <c r="D81" s="376"/>
      <c r="E81" s="376"/>
      <c r="F81" s="376"/>
      <c r="G81" s="376"/>
      <c r="H81" s="376"/>
      <c r="I81" s="376"/>
      <c r="J81" s="376"/>
      <c r="K81" s="376"/>
      <c r="L81" s="376"/>
      <c r="M81" s="376"/>
    </row>
    <row r="82" spans="1:13">
      <c r="A82" s="370"/>
      <c r="B82" s="376"/>
      <c r="C82" s="376"/>
      <c r="D82" s="376"/>
      <c r="E82" s="376"/>
      <c r="F82" s="376"/>
      <c r="G82" s="376"/>
      <c r="H82" s="376"/>
      <c r="I82" s="376"/>
      <c r="J82" s="376"/>
      <c r="K82" s="376"/>
      <c r="L82" s="376"/>
      <c r="M82" s="376"/>
    </row>
    <row r="83" spans="1:13">
      <c r="A83" s="380" t="s">
        <v>268</v>
      </c>
      <c r="B83" s="381"/>
      <c r="C83" s="381"/>
      <c r="D83" s="381"/>
      <c r="E83" s="381">
        <f>+E55+E66+E80+E78</f>
        <v>0</v>
      </c>
      <c r="F83" s="381">
        <f t="shared" ref="F83:K83" si="35">+F55+F66+F80+F78</f>
        <v>0</v>
      </c>
      <c r="G83" s="381">
        <f t="shared" si="35"/>
        <v>170.58340271739132</v>
      </c>
      <c r="H83" s="381">
        <f t="shared" si="35"/>
        <v>1250.9449532608694</v>
      </c>
      <c r="I83" s="381">
        <f t="shared" si="35"/>
        <v>1250.9449532608694</v>
      </c>
      <c r="J83" s="381">
        <f t="shared" si="35"/>
        <v>1279.3755203804349</v>
      </c>
      <c r="K83" s="381">
        <f t="shared" si="35"/>
        <v>1250.9449532608694</v>
      </c>
      <c r="L83" s="381">
        <f t="shared" ref="L83:M83" si="36">+L55+L66+L80+L78</f>
        <v>1279.3755203804349</v>
      </c>
      <c r="M83" s="381">
        <f t="shared" si="36"/>
        <v>1250.9449532608694</v>
      </c>
    </row>
    <row r="85" spans="1:13" ht="23.5">
      <c r="A85" s="35" t="s">
        <v>114</v>
      </c>
    </row>
    <row r="86" spans="1:13" ht="18" customHeight="1">
      <c r="A86" s="35"/>
    </row>
    <row r="87" spans="1:13" ht="18" customHeight="1">
      <c r="A87" s="35"/>
    </row>
    <row r="88" spans="1:13" ht="18" customHeight="1">
      <c r="A88" s="596" t="s">
        <v>248</v>
      </c>
      <c r="B88" s="597"/>
      <c r="C88" s="597"/>
      <c r="D88" s="597"/>
      <c r="E88" s="597"/>
      <c r="F88" s="597"/>
      <c r="G88" s="597"/>
      <c r="H88" s="597"/>
      <c r="I88" s="597"/>
      <c r="J88" s="597"/>
      <c r="K88" s="597"/>
      <c r="L88" s="597"/>
      <c r="M88" s="597"/>
    </row>
    <row r="89" spans="1:13" ht="18" customHeight="1">
      <c r="A89" s="351" t="s">
        <v>1</v>
      </c>
      <c r="B89" s="357"/>
      <c r="C89" s="357"/>
      <c r="D89" s="357"/>
      <c r="E89" s="357"/>
      <c r="F89" s="357"/>
      <c r="G89" s="357"/>
      <c r="H89" s="357"/>
      <c r="I89" s="357"/>
      <c r="J89" s="357"/>
      <c r="K89" s="357"/>
      <c r="L89" s="357"/>
      <c r="M89" s="357"/>
    </row>
    <row r="90" spans="1:13" ht="18" customHeight="1">
      <c r="A90" s="351"/>
      <c r="B90" s="362"/>
      <c r="C90" s="362"/>
      <c r="D90" s="362" t="s">
        <v>142</v>
      </c>
      <c r="E90" s="442" t="s">
        <v>20</v>
      </c>
      <c r="F90" s="442" t="s">
        <v>21</v>
      </c>
      <c r="G90" s="442" t="s">
        <v>27</v>
      </c>
      <c r="H90" s="442" t="s">
        <v>28</v>
      </c>
      <c r="I90" s="442" t="s">
        <v>57</v>
      </c>
      <c r="J90" s="442" t="s">
        <v>138</v>
      </c>
      <c r="K90" s="442" t="s">
        <v>225</v>
      </c>
      <c r="L90" s="442" t="s">
        <v>729</v>
      </c>
      <c r="M90" s="442" t="s">
        <v>730</v>
      </c>
    </row>
    <row r="91" spans="1:13" ht="18" customHeight="1">
      <c r="A91" s="157"/>
      <c r="B91" s="20"/>
      <c r="C91" s="20"/>
      <c r="D91" s="20"/>
      <c r="E91" s="20"/>
      <c r="F91" s="20"/>
      <c r="G91" s="20"/>
      <c r="H91" s="20"/>
      <c r="I91" s="20"/>
      <c r="J91" s="20"/>
      <c r="K91" s="20"/>
      <c r="L91" s="20"/>
      <c r="M91" s="20"/>
    </row>
    <row r="92" spans="1:13" ht="18" customHeight="1">
      <c r="A92" s="234" t="s">
        <v>386</v>
      </c>
      <c r="B92" s="158">
        <v>5500</v>
      </c>
      <c r="C92" s="158"/>
      <c r="D92" s="158">
        <v>6</v>
      </c>
      <c r="E92" s="158">
        <v>0</v>
      </c>
      <c r="F92" s="158">
        <v>0</v>
      </c>
      <c r="G92" s="158">
        <v>6</v>
      </c>
      <c r="H92" s="158">
        <v>0</v>
      </c>
      <c r="I92" s="158">
        <v>0</v>
      </c>
      <c r="J92" s="158">
        <v>0</v>
      </c>
      <c r="K92" s="158">
        <v>0</v>
      </c>
      <c r="L92" s="158"/>
      <c r="M92" s="158"/>
    </row>
    <row r="93" spans="1:13" ht="18" customHeight="1">
      <c r="A93" s="159" t="s">
        <v>387</v>
      </c>
      <c r="B93" s="158">
        <v>5500</v>
      </c>
      <c r="C93" s="158"/>
      <c r="D93" s="235">
        <v>6</v>
      </c>
      <c r="E93" s="158">
        <v>0</v>
      </c>
      <c r="F93" s="158">
        <v>0</v>
      </c>
      <c r="G93" s="158">
        <v>6</v>
      </c>
      <c r="H93" s="158">
        <v>0</v>
      </c>
      <c r="I93" s="158">
        <v>0</v>
      </c>
      <c r="J93" s="158">
        <v>0</v>
      </c>
      <c r="K93" s="158">
        <v>0</v>
      </c>
      <c r="L93" s="158"/>
      <c r="M93" s="158"/>
    </row>
    <row r="94" spans="1:13" ht="18" customHeight="1">
      <c r="A94" s="236" t="s">
        <v>397</v>
      </c>
      <c r="B94" s="158">
        <v>5500</v>
      </c>
      <c r="C94" s="158"/>
      <c r="D94" s="232">
        <v>6</v>
      </c>
      <c r="E94" s="158">
        <v>0</v>
      </c>
      <c r="F94" s="158">
        <v>0</v>
      </c>
      <c r="G94" s="158">
        <v>6</v>
      </c>
      <c r="H94" s="158">
        <v>0</v>
      </c>
      <c r="I94" s="158">
        <v>0</v>
      </c>
      <c r="J94" s="158">
        <v>0</v>
      </c>
      <c r="K94" s="158">
        <v>0</v>
      </c>
      <c r="L94" s="158"/>
      <c r="M94" s="158"/>
    </row>
    <row r="95" spans="1:13" ht="18" customHeight="1">
      <c r="A95" s="234" t="s">
        <v>398</v>
      </c>
      <c r="B95" s="158">
        <v>5500</v>
      </c>
      <c r="C95" s="158"/>
      <c r="D95" s="232">
        <v>6</v>
      </c>
      <c r="E95" s="232">
        <v>0</v>
      </c>
      <c r="F95" s="158">
        <v>0</v>
      </c>
      <c r="G95" s="158">
        <v>4</v>
      </c>
      <c r="H95" s="232">
        <v>2</v>
      </c>
      <c r="I95" s="232">
        <v>0</v>
      </c>
      <c r="J95" s="232">
        <v>0</v>
      </c>
      <c r="K95" s="232">
        <v>0</v>
      </c>
      <c r="L95" s="232"/>
      <c r="M95" s="232"/>
    </row>
    <row r="96" spans="1:13" ht="18" customHeight="1">
      <c r="A96" s="364" t="s">
        <v>388</v>
      </c>
      <c r="B96" s="365">
        <v>5500</v>
      </c>
      <c r="C96" s="158"/>
      <c r="D96" s="232">
        <v>6</v>
      </c>
      <c r="E96" s="232">
        <v>0</v>
      </c>
      <c r="F96" s="158">
        <v>0</v>
      </c>
      <c r="G96" s="158">
        <v>0</v>
      </c>
      <c r="H96" s="232">
        <v>6</v>
      </c>
      <c r="I96" s="232">
        <v>0</v>
      </c>
      <c r="J96" s="232">
        <v>0</v>
      </c>
      <c r="K96" s="232">
        <v>0</v>
      </c>
      <c r="L96" s="232"/>
      <c r="M96" s="232"/>
    </row>
    <row r="97" spans="1:13" ht="18" customHeight="1">
      <c r="A97" s="236" t="s">
        <v>389</v>
      </c>
      <c r="B97" s="158">
        <v>5500</v>
      </c>
      <c r="C97" s="158"/>
      <c r="D97" s="232">
        <v>6</v>
      </c>
      <c r="E97" s="232">
        <v>0</v>
      </c>
      <c r="F97" s="158">
        <v>0</v>
      </c>
      <c r="G97" s="158">
        <v>0</v>
      </c>
      <c r="H97" s="232">
        <v>6</v>
      </c>
      <c r="I97" s="232">
        <v>0</v>
      </c>
      <c r="J97" s="232">
        <v>0</v>
      </c>
      <c r="K97" s="232">
        <v>0</v>
      </c>
      <c r="L97" s="232"/>
      <c r="M97" s="232"/>
    </row>
    <row r="98" spans="1:13" ht="18" customHeight="1">
      <c r="A98" s="236" t="s">
        <v>399</v>
      </c>
      <c r="B98" s="158">
        <v>5500</v>
      </c>
      <c r="C98" s="158"/>
      <c r="D98" s="232">
        <v>6</v>
      </c>
      <c r="E98" s="232">
        <v>0</v>
      </c>
      <c r="F98" s="232">
        <v>0</v>
      </c>
      <c r="G98" s="158">
        <v>0</v>
      </c>
      <c r="H98" s="158">
        <v>5</v>
      </c>
      <c r="I98" s="232">
        <v>1</v>
      </c>
      <c r="J98" s="232">
        <v>0</v>
      </c>
      <c r="K98" s="232">
        <v>0</v>
      </c>
      <c r="L98" s="232"/>
      <c r="M98" s="232"/>
    </row>
    <row r="99" spans="1:13" ht="18" customHeight="1">
      <c r="A99" s="286" t="s">
        <v>400</v>
      </c>
      <c r="B99" s="158">
        <v>5500</v>
      </c>
      <c r="C99" s="158"/>
      <c r="D99" s="232">
        <v>6</v>
      </c>
      <c r="E99" s="232">
        <v>0</v>
      </c>
      <c r="F99" s="232">
        <v>0</v>
      </c>
      <c r="G99" s="158">
        <v>0</v>
      </c>
      <c r="H99" s="235">
        <v>3</v>
      </c>
      <c r="I99" s="232">
        <v>3</v>
      </c>
      <c r="J99" s="232">
        <v>0</v>
      </c>
      <c r="K99" s="232">
        <v>0</v>
      </c>
      <c r="L99" s="232"/>
      <c r="M99" s="232"/>
    </row>
    <row r="100" spans="1:13" ht="18" customHeight="1">
      <c r="A100" s="369" t="s">
        <v>390</v>
      </c>
      <c r="B100" s="365">
        <v>5500</v>
      </c>
      <c r="C100" s="158"/>
      <c r="D100" s="232">
        <v>6</v>
      </c>
      <c r="E100" s="232">
        <v>0</v>
      </c>
      <c r="F100" s="232">
        <v>0</v>
      </c>
      <c r="G100" s="158">
        <v>0</v>
      </c>
      <c r="H100" s="232">
        <v>0</v>
      </c>
      <c r="I100" s="232">
        <v>6</v>
      </c>
      <c r="J100" s="232">
        <v>0</v>
      </c>
      <c r="K100" s="232">
        <v>0</v>
      </c>
      <c r="L100" s="232"/>
      <c r="M100" s="232"/>
    </row>
    <row r="101" spans="1:13" ht="18" customHeight="1">
      <c r="A101" s="286" t="s">
        <v>391</v>
      </c>
      <c r="B101" s="158">
        <v>5500</v>
      </c>
      <c r="C101" s="158"/>
      <c r="D101" s="232">
        <v>6</v>
      </c>
      <c r="F101" s="232">
        <v>0</v>
      </c>
      <c r="G101" s="232">
        <v>0</v>
      </c>
      <c r="H101" s="158">
        <v>0</v>
      </c>
      <c r="I101" s="158">
        <v>6</v>
      </c>
      <c r="J101" s="232">
        <v>0</v>
      </c>
      <c r="K101" s="232">
        <v>0</v>
      </c>
      <c r="L101" s="232"/>
      <c r="M101" s="232"/>
    </row>
    <row r="102" spans="1:13" ht="18" customHeight="1">
      <c r="A102" s="236" t="s">
        <v>401</v>
      </c>
      <c r="B102" s="158">
        <v>5500</v>
      </c>
      <c r="C102" s="158"/>
      <c r="D102" s="232">
        <v>6</v>
      </c>
      <c r="F102" s="232">
        <v>0</v>
      </c>
      <c r="G102" s="232">
        <v>0</v>
      </c>
      <c r="H102" s="158">
        <v>0</v>
      </c>
      <c r="I102" s="235">
        <v>4</v>
      </c>
      <c r="J102" s="232">
        <v>2</v>
      </c>
      <c r="K102" s="232">
        <v>0</v>
      </c>
      <c r="L102" s="232"/>
      <c r="M102" s="232"/>
    </row>
    <row r="103" spans="1:13" ht="18" customHeight="1">
      <c r="A103" s="286" t="s">
        <v>402</v>
      </c>
      <c r="B103" s="158">
        <v>5500</v>
      </c>
      <c r="C103" s="158"/>
      <c r="D103" s="232">
        <v>6</v>
      </c>
      <c r="E103" s="232">
        <v>0</v>
      </c>
      <c r="F103" s="232">
        <v>0</v>
      </c>
      <c r="G103" s="232">
        <v>0</v>
      </c>
      <c r="H103" s="158">
        <v>0</v>
      </c>
      <c r="I103" s="232">
        <v>2</v>
      </c>
      <c r="J103" s="232">
        <v>4</v>
      </c>
      <c r="K103" s="232">
        <v>0</v>
      </c>
      <c r="L103" s="232"/>
      <c r="M103" s="232"/>
    </row>
    <row r="104" spans="1:13" ht="18" customHeight="1">
      <c r="A104" s="369" t="s">
        <v>392</v>
      </c>
      <c r="B104" s="365">
        <v>5500</v>
      </c>
      <c r="C104" s="158"/>
      <c r="D104" s="232">
        <v>6</v>
      </c>
      <c r="E104" s="232">
        <v>0</v>
      </c>
      <c r="F104" s="232">
        <v>0</v>
      </c>
      <c r="G104" s="232">
        <v>0</v>
      </c>
      <c r="H104" s="232">
        <v>0</v>
      </c>
      <c r="I104" s="158">
        <v>0</v>
      </c>
      <c r="J104" s="158">
        <v>6</v>
      </c>
      <c r="K104" s="232">
        <v>0</v>
      </c>
      <c r="L104" s="232"/>
      <c r="M104" s="232"/>
    </row>
    <row r="105" spans="1:13" ht="18" customHeight="1">
      <c r="A105" s="286" t="s">
        <v>393</v>
      </c>
      <c r="B105" s="158">
        <v>5500</v>
      </c>
      <c r="C105" s="158"/>
      <c r="D105" s="232">
        <v>6</v>
      </c>
      <c r="E105" s="232">
        <v>0</v>
      </c>
      <c r="F105" s="232">
        <v>0</v>
      </c>
      <c r="G105" s="232">
        <v>0</v>
      </c>
      <c r="H105" s="232"/>
      <c r="I105" s="158">
        <v>0</v>
      </c>
      <c r="J105" s="235">
        <v>5</v>
      </c>
      <c r="K105" s="232">
        <v>1</v>
      </c>
      <c r="L105" s="232"/>
      <c r="M105" s="232"/>
    </row>
    <row r="106" spans="1:13" ht="18" customHeight="1">
      <c r="A106" s="286" t="s">
        <v>403</v>
      </c>
      <c r="B106" s="158">
        <v>5500</v>
      </c>
      <c r="C106" s="158"/>
      <c r="D106" s="232">
        <v>6</v>
      </c>
      <c r="E106" s="232">
        <v>0</v>
      </c>
      <c r="F106" s="232">
        <v>0</v>
      </c>
      <c r="G106" s="232">
        <v>0</v>
      </c>
      <c r="H106" s="232"/>
      <c r="I106" s="158">
        <v>0</v>
      </c>
      <c r="J106" s="232">
        <v>3</v>
      </c>
      <c r="K106" s="232">
        <v>3</v>
      </c>
      <c r="L106" s="232"/>
      <c r="M106" s="232"/>
    </row>
    <row r="107" spans="1:13" ht="18" customHeight="1">
      <c r="A107" s="286" t="s">
        <v>404</v>
      </c>
      <c r="B107" s="158">
        <v>5500</v>
      </c>
      <c r="C107" s="158"/>
      <c r="D107" s="232">
        <v>6</v>
      </c>
      <c r="E107" s="232">
        <v>0</v>
      </c>
      <c r="F107" s="232">
        <v>0</v>
      </c>
      <c r="G107" s="232">
        <v>0</v>
      </c>
      <c r="H107" s="232">
        <v>0</v>
      </c>
      <c r="I107" s="158">
        <v>0</v>
      </c>
      <c r="J107" s="158">
        <v>1</v>
      </c>
      <c r="K107" s="158">
        <v>5</v>
      </c>
      <c r="L107" s="158"/>
      <c r="M107" s="158"/>
    </row>
    <row r="108" spans="1:13" ht="18" customHeight="1">
      <c r="A108" s="369" t="s">
        <v>394</v>
      </c>
      <c r="B108" s="365">
        <v>5500</v>
      </c>
      <c r="C108" s="158"/>
      <c r="D108" s="232">
        <v>6</v>
      </c>
      <c r="E108" s="232">
        <v>0</v>
      </c>
      <c r="F108" s="232">
        <v>0</v>
      </c>
      <c r="G108" s="232">
        <v>0</v>
      </c>
      <c r="H108" s="232">
        <v>0</v>
      </c>
      <c r="I108" s="232">
        <v>0</v>
      </c>
      <c r="J108" s="158">
        <v>0</v>
      </c>
      <c r="K108" s="235">
        <v>6</v>
      </c>
      <c r="L108" s="235"/>
      <c r="M108" s="235"/>
    </row>
    <row r="109" spans="1:13" ht="18" customHeight="1">
      <c r="A109" s="286" t="s">
        <v>395</v>
      </c>
      <c r="B109" s="158">
        <v>5500</v>
      </c>
      <c r="C109" s="158"/>
      <c r="D109" s="232">
        <v>6</v>
      </c>
      <c r="E109" s="232">
        <v>0</v>
      </c>
      <c r="F109" s="232">
        <v>0</v>
      </c>
      <c r="G109" s="232">
        <v>0</v>
      </c>
      <c r="H109" s="232">
        <v>0</v>
      </c>
      <c r="I109" s="232">
        <v>0</v>
      </c>
      <c r="J109" s="158">
        <v>0</v>
      </c>
      <c r="K109" s="232">
        <v>4</v>
      </c>
      <c r="L109" s="232">
        <v>2</v>
      </c>
      <c r="M109" s="232"/>
    </row>
    <row r="110" spans="1:13" ht="18" customHeight="1">
      <c r="A110" s="286" t="s">
        <v>408</v>
      </c>
      <c r="B110" s="158">
        <v>5500</v>
      </c>
      <c r="C110" s="158"/>
      <c r="D110" s="232">
        <v>6</v>
      </c>
      <c r="E110" s="232">
        <v>0</v>
      </c>
      <c r="F110" s="232">
        <v>0</v>
      </c>
      <c r="G110" s="232">
        <v>0</v>
      </c>
      <c r="H110" s="232">
        <v>0</v>
      </c>
      <c r="I110" s="232">
        <v>0</v>
      </c>
      <c r="J110" s="158">
        <v>0</v>
      </c>
      <c r="K110" s="232">
        <v>2</v>
      </c>
      <c r="L110" s="232">
        <v>4</v>
      </c>
      <c r="M110" s="232"/>
    </row>
    <row r="111" spans="1:13" ht="18" customHeight="1">
      <c r="A111" s="286" t="s">
        <v>734</v>
      </c>
      <c r="B111" s="158">
        <v>5500</v>
      </c>
      <c r="C111" s="158"/>
      <c r="D111" s="232">
        <v>6</v>
      </c>
      <c r="E111" s="232"/>
      <c r="F111" s="232"/>
      <c r="G111" s="232"/>
      <c r="H111" s="232"/>
      <c r="I111" s="232"/>
      <c r="J111" s="158"/>
      <c r="K111" s="232"/>
      <c r="L111" s="232">
        <v>6</v>
      </c>
      <c r="M111" s="232"/>
    </row>
    <row r="112" spans="1:13" ht="18" customHeight="1">
      <c r="A112" s="369" t="s">
        <v>735</v>
      </c>
      <c r="B112" s="365">
        <v>5500</v>
      </c>
      <c r="C112" s="158"/>
      <c r="D112" s="232"/>
      <c r="E112" s="232"/>
      <c r="F112" s="232"/>
      <c r="G112" s="232"/>
      <c r="H112" s="232"/>
      <c r="I112" s="232"/>
      <c r="J112" s="158"/>
      <c r="K112" s="232"/>
      <c r="L112" s="232">
        <v>5</v>
      </c>
      <c r="M112" s="232">
        <v>1</v>
      </c>
    </row>
    <row r="113" spans="1:13" ht="18" customHeight="1">
      <c r="A113" s="286" t="s">
        <v>736</v>
      </c>
      <c r="B113" s="158">
        <v>5500</v>
      </c>
      <c r="C113" s="158"/>
      <c r="D113" s="232"/>
      <c r="E113" s="232"/>
      <c r="F113" s="232"/>
      <c r="G113" s="232"/>
      <c r="H113" s="232"/>
      <c r="I113" s="232"/>
      <c r="J113" s="158"/>
      <c r="K113" s="232"/>
      <c r="L113" s="232">
        <v>3</v>
      </c>
      <c r="M113" s="232">
        <v>3</v>
      </c>
    </row>
    <row r="114" spans="1:13" ht="18" customHeight="1">
      <c r="A114" s="286" t="s">
        <v>737</v>
      </c>
      <c r="B114" s="158">
        <v>5500</v>
      </c>
      <c r="C114" s="158"/>
      <c r="D114" s="232"/>
      <c r="E114" s="232"/>
      <c r="F114" s="232"/>
      <c r="G114" s="232"/>
      <c r="H114" s="232"/>
      <c r="I114" s="232"/>
      <c r="J114" s="158"/>
      <c r="K114" s="232"/>
      <c r="L114" s="232">
        <v>1</v>
      </c>
      <c r="M114" s="232">
        <v>5</v>
      </c>
    </row>
    <row r="115" spans="1:13" ht="18" customHeight="1">
      <c r="A115" s="286" t="s">
        <v>738</v>
      </c>
      <c r="B115" s="158">
        <v>5500</v>
      </c>
      <c r="C115" s="158"/>
      <c r="D115" s="232"/>
      <c r="E115" s="232"/>
      <c r="F115" s="232"/>
      <c r="G115" s="232"/>
      <c r="H115" s="232"/>
      <c r="I115" s="232"/>
      <c r="J115" s="158"/>
      <c r="K115" s="232"/>
      <c r="L115" s="232">
        <v>0</v>
      </c>
      <c r="M115" s="232">
        <v>6</v>
      </c>
    </row>
    <row r="116" spans="1:13" ht="18" customHeight="1">
      <c r="A116" s="369" t="s">
        <v>739</v>
      </c>
      <c r="B116" s="365">
        <v>5500</v>
      </c>
      <c r="C116" s="158"/>
      <c r="D116" s="232"/>
      <c r="E116" s="232"/>
      <c r="F116" s="232"/>
      <c r="G116" s="232"/>
      <c r="H116" s="232"/>
      <c r="I116" s="232"/>
      <c r="J116" s="158"/>
      <c r="K116" s="232"/>
      <c r="L116" s="232"/>
      <c r="M116" s="232">
        <v>4</v>
      </c>
    </row>
    <row r="117" spans="1:13" ht="18" customHeight="1">
      <c r="A117" s="286" t="s">
        <v>740</v>
      </c>
      <c r="B117" s="158">
        <v>5500</v>
      </c>
      <c r="C117" s="158"/>
      <c r="D117" s="232"/>
      <c r="E117" s="232"/>
      <c r="F117" s="232"/>
      <c r="G117" s="232"/>
      <c r="H117" s="232"/>
      <c r="I117" s="232"/>
      <c r="J117" s="158"/>
      <c r="K117" s="232"/>
      <c r="L117" s="232"/>
      <c r="M117" s="232">
        <v>2</v>
      </c>
    </row>
    <row r="118" spans="1:13" ht="18" customHeight="1">
      <c r="A118" s="286"/>
      <c r="B118" s="158"/>
      <c r="C118" s="158"/>
      <c r="D118" s="232"/>
      <c r="E118" s="232"/>
      <c r="F118" s="232"/>
      <c r="G118" s="232"/>
      <c r="H118" s="232"/>
      <c r="I118" s="232"/>
      <c r="J118" s="158"/>
      <c r="K118" s="232"/>
      <c r="L118" s="232"/>
      <c r="M118" s="232"/>
    </row>
    <row r="119" spans="1:13" ht="18" customHeight="1">
      <c r="A119" s="382" t="s">
        <v>407</v>
      </c>
      <c r="B119" s="367"/>
      <c r="C119" s="367"/>
      <c r="D119" s="367"/>
      <c r="E119" s="367">
        <f>+SUM(E92:E109)</f>
        <v>0</v>
      </c>
      <c r="F119" s="367">
        <f>+SUM(F91:F110)</f>
        <v>0</v>
      </c>
      <c r="G119" s="367">
        <f t="shared" ref="G119:M119" si="37">+SUM(G92:G118)</f>
        <v>22</v>
      </c>
      <c r="H119" s="367">
        <f t="shared" si="37"/>
        <v>22</v>
      </c>
      <c r="I119" s="367">
        <f t="shared" si="37"/>
        <v>22</v>
      </c>
      <c r="J119" s="367">
        <f t="shared" si="37"/>
        <v>21</v>
      </c>
      <c r="K119" s="367">
        <f t="shared" si="37"/>
        <v>21</v>
      </c>
      <c r="L119" s="367">
        <f t="shared" si="37"/>
        <v>21</v>
      </c>
      <c r="M119" s="367">
        <f t="shared" si="37"/>
        <v>21</v>
      </c>
    </row>
    <row r="120" spans="1:13" ht="18" customHeight="1">
      <c r="A120" s="382" t="s">
        <v>406</v>
      </c>
      <c r="B120" s="367"/>
      <c r="C120" s="367"/>
      <c r="D120" s="367"/>
      <c r="E120" s="367">
        <f t="shared" ref="E120:K120" si="38">+E33</f>
        <v>0</v>
      </c>
      <c r="F120" s="367">
        <f t="shared" si="38"/>
        <v>0</v>
      </c>
      <c r="G120" s="367">
        <f t="shared" si="38"/>
        <v>6</v>
      </c>
      <c r="H120" s="367">
        <f t="shared" si="38"/>
        <v>44</v>
      </c>
      <c r="I120" s="367">
        <f t="shared" si="38"/>
        <v>44</v>
      </c>
      <c r="J120" s="367">
        <f t="shared" si="38"/>
        <v>45</v>
      </c>
      <c r="K120" s="367">
        <f t="shared" si="38"/>
        <v>44</v>
      </c>
      <c r="L120" s="367">
        <f t="shared" ref="L120:M120" si="39">+L33</f>
        <v>45</v>
      </c>
      <c r="M120" s="367">
        <f t="shared" si="39"/>
        <v>44</v>
      </c>
    </row>
    <row r="121" spans="1:13" ht="18" customHeight="1">
      <c r="A121" s="382" t="s">
        <v>368</v>
      </c>
      <c r="B121" s="367"/>
      <c r="C121" s="367"/>
      <c r="D121" s="367"/>
      <c r="E121" s="367">
        <v>1</v>
      </c>
      <c r="F121" s="367">
        <v>1</v>
      </c>
      <c r="G121" s="367">
        <v>1</v>
      </c>
      <c r="H121" s="367">
        <v>1</v>
      </c>
      <c r="I121" s="367">
        <v>1</v>
      </c>
      <c r="J121" s="367">
        <v>1</v>
      </c>
      <c r="K121" s="367">
        <v>1</v>
      </c>
      <c r="L121" s="367">
        <v>1</v>
      </c>
      <c r="M121" s="367">
        <v>1</v>
      </c>
    </row>
    <row r="122" spans="1:13" ht="31.5" customHeight="1">
      <c r="A122" s="382" t="s">
        <v>405</v>
      </c>
      <c r="B122" s="367"/>
      <c r="C122" s="367"/>
      <c r="D122" s="367"/>
      <c r="E122" s="383">
        <f>+E119*E121</f>
        <v>0</v>
      </c>
      <c r="F122" s="383">
        <f>+F119*F121</f>
        <v>0</v>
      </c>
      <c r="G122" s="383">
        <f t="shared" ref="G122:K122" si="40">+G119*G121</f>
        <v>22</v>
      </c>
      <c r="H122" s="383">
        <f t="shared" si="40"/>
        <v>22</v>
      </c>
      <c r="I122" s="383">
        <f t="shared" si="40"/>
        <v>22</v>
      </c>
      <c r="J122" s="383">
        <f t="shared" si="40"/>
        <v>21</v>
      </c>
      <c r="K122" s="383">
        <f t="shared" si="40"/>
        <v>21</v>
      </c>
      <c r="L122" s="383">
        <f t="shared" ref="L122:M122" si="41">+L119*L121</f>
        <v>21</v>
      </c>
      <c r="M122" s="383">
        <f t="shared" si="41"/>
        <v>21</v>
      </c>
    </row>
    <row r="123" spans="1:13" ht="18" customHeight="1">
      <c r="A123" s="382" t="s">
        <v>406</v>
      </c>
      <c r="B123" s="367"/>
      <c r="C123" s="367"/>
      <c r="D123" s="367"/>
      <c r="E123" s="383">
        <f t="shared" ref="E123:K123" si="42">+E35</f>
        <v>0</v>
      </c>
      <c r="F123" s="383">
        <f t="shared" si="42"/>
        <v>0</v>
      </c>
      <c r="G123" s="383">
        <f t="shared" si="42"/>
        <v>6</v>
      </c>
      <c r="H123" s="383">
        <f t="shared" si="42"/>
        <v>44</v>
      </c>
      <c r="I123" s="383">
        <f t="shared" si="42"/>
        <v>44</v>
      </c>
      <c r="J123" s="383">
        <f t="shared" si="42"/>
        <v>45</v>
      </c>
      <c r="K123" s="383">
        <f t="shared" si="42"/>
        <v>44</v>
      </c>
      <c r="L123" s="383">
        <f t="shared" ref="L123:M123" si="43">+L35</f>
        <v>45</v>
      </c>
      <c r="M123" s="383">
        <f t="shared" si="43"/>
        <v>44</v>
      </c>
    </row>
    <row r="124" spans="1:13" ht="18" customHeight="1">
      <c r="A124" s="370"/>
      <c r="B124" s="371"/>
      <c r="C124" s="371"/>
      <c r="D124" s="371"/>
      <c r="E124" s="371"/>
      <c r="F124" s="371"/>
      <c r="G124" s="371"/>
      <c r="H124" s="371"/>
      <c r="I124" s="371"/>
      <c r="J124" s="371"/>
      <c r="K124" s="371"/>
      <c r="L124" s="371"/>
      <c r="M124" s="371"/>
    </row>
    <row r="125" spans="1:13" ht="18" customHeight="1">
      <c r="A125" s="370"/>
      <c r="B125" s="371"/>
      <c r="C125" s="371"/>
      <c r="D125" s="371"/>
      <c r="E125" s="371"/>
      <c r="F125" s="371"/>
      <c r="G125" s="371"/>
      <c r="H125" s="371"/>
      <c r="I125" s="371"/>
      <c r="J125" s="371"/>
      <c r="K125" s="371"/>
      <c r="L125" s="371"/>
      <c r="M125" s="371"/>
    </row>
    <row r="126" spans="1:13" ht="18" customHeight="1">
      <c r="A126" s="370"/>
      <c r="B126" s="371"/>
      <c r="C126" s="371"/>
      <c r="D126" s="371"/>
      <c r="E126" s="371"/>
      <c r="F126" s="371"/>
      <c r="G126" s="371"/>
      <c r="H126" s="371"/>
      <c r="I126" s="371"/>
      <c r="J126" s="371"/>
      <c r="K126" s="371"/>
      <c r="L126" s="371"/>
      <c r="M126" s="371"/>
    </row>
    <row r="127" spans="1:13" ht="18" customHeight="1">
      <c r="A127" s="35"/>
    </row>
    <row r="128" spans="1:13" ht="18" customHeight="1">
      <c r="A128" s="382" t="s">
        <v>164</v>
      </c>
      <c r="B128" s="384"/>
      <c r="C128" s="384"/>
      <c r="D128" s="384"/>
      <c r="E128" s="384"/>
      <c r="F128" s="384"/>
      <c r="G128" s="384"/>
      <c r="H128" s="384"/>
      <c r="I128" s="384"/>
      <c r="J128" s="384"/>
      <c r="K128" s="384"/>
      <c r="L128" s="384"/>
      <c r="M128" s="384"/>
    </row>
    <row r="129" spans="1:13" ht="18" customHeight="1">
      <c r="A129" s="384"/>
      <c r="B129" s="384"/>
      <c r="C129" s="384"/>
      <c r="D129" s="384"/>
      <c r="E129" s="384"/>
      <c r="F129" s="384"/>
      <c r="G129" s="384"/>
      <c r="H129" s="384"/>
      <c r="I129" s="384"/>
      <c r="J129" s="384"/>
      <c r="K129" s="384"/>
      <c r="L129" s="384"/>
      <c r="M129" s="384"/>
    </row>
    <row r="130" spans="1:13">
      <c r="A130" s="287" t="s">
        <v>157</v>
      </c>
      <c r="B130" s="159"/>
      <c r="C130" s="159"/>
      <c r="D130" s="159"/>
      <c r="E130" s="159">
        <v>1.5</v>
      </c>
      <c r="F130" s="159">
        <v>1.5</v>
      </c>
      <c r="G130" s="159">
        <v>1.5</v>
      </c>
      <c r="H130" s="159">
        <v>1.5</v>
      </c>
      <c r="I130" s="159">
        <v>1.5</v>
      </c>
      <c r="J130" s="159">
        <v>1.5</v>
      </c>
      <c r="K130" s="159">
        <v>1.5</v>
      </c>
      <c r="L130" s="159">
        <v>1.5</v>
      </c>
      <c r="M130" s="159">
        <v>1.5</v>
      </c>
    </row>
    <row r="131" spans="1:13">
      <c r="A131" s="287" t="s">
        <v>158</v>
      </c>
      <c r="B131" s="159"/>
      <c r="C131" s="159"/>
      <c r="D131" s="159"/>
      <c r="E131" s="159">
        <v>4.5</v>
      </c>
      <c r="F131" s="159">
        <v>4.5</v>
      </c>
      <c r="G131" s="159">
        <v>4.5</v>
      </c>
      <c r="H131" s="159">
        <v>4.5</v>
      </c>
      <c r="I131" s="159">
        <v>4.5</v>
      </c>
      <c r="J131" s="159">
        <v>4.5</v>
      </c>
      <c r="K131" s="159">
        <v>4.5</v>
      </c>
      <c r="L131" s="159">
        <v>4.5</v>
      </c>
      <c r="M131" s="159">
        <v>4.5</v>
      </c>
    </row>
    <row r="132" spans="1:13">
      <c r="A132" s="287" t="s">
        <v>275</v>
      </c>
      <c r="B132" s="159"/>
      <c r="C132" s="159"/>
      <c r="D132" s="159"/>
      <c r="E132" s="159">
        <v>3</v>
      </c>
      <c r="F132" s="159">
        <v>3</v>
      </c>
      <c r="G132" s="159">
        <v>3</v>
      </c>
      <c r="H132" s="159">
        <v>3</v>
      </c>
      <c r="I132" s="159">
        <v>3</v>
      </c>
      <c r="J132" s="159">
        <v>3</v>
      </c>
      <c r="K132" s="159">
        <v>3</v>
      </c>
      <c r="L132" s="159">
        <v>3</v>
      </c>
      <c r="M132" s="159">
        <v>3</v>
      </c>
    </row>
    <row r="133" spans="1:13">
      <c r="A133" s="287"/>
      <c r="B133" s="159"/>
      <c r="C133" s="159"/>
      <c r="D133" s="159"/>
      <c r="E133" s="159"/>
      <c r="F133" s="159"/>
      <c r="G133" s="159"/>
      <c r="H133" s="159"/>
      <c r="I133" s="159"/>
      <c r="J133" s="159"/>
      <c r="K133" s="159"/>
      <c r="L133" s="159"/>
      <c r="M133" s="159"/>
    </row>
    <row r="134" spans="1:13">
      <c r="A134" s="287" t="s">
        <v>159</v>
      </c>
      <c r="B134" s="159"/>
      <c r="C134" s="159"/>
      <c r="D134" s="159"/>
      <c r="E134" s="252">
        <f>+E122*E130*5500/1000</f>
        <v>0</v>
      </c>
      <c r="F134" s="252">
        <f t="shared" ref="F134:K135" si="44">+F122*F130*5500/1000</f>
        <v>0</v>
      </c>
      <c r="G134" s="252">
        <f t="shared" si="44"/>
        <v>181.5</v>
      </c>
      <c r="H134" s="252">
        <f t="shared" si="44"/>
        <v>181.5</v>
      </c>
      <c r="I134" s="252">
        <f t="shared" si="44"/>
        <v>181.5</v>
      </c>
      <c r="J134" s="252">
        <f t="shared" si="44"/>
        <v>173.25</v>
      </c>
      <c r="K134" s="252">
        <f t="shared" si="44"/>
        <v>173.25</v>
      </c>
      <c r="L134" s="252">
        <f t="shared" ref="L134:M134" si="45">+L122*L130*5500/1000</f>
        <v>173.25</v>
      </c>
      <c r="M134" s="252">
        <f t="shared" si="45"/>
        <v>173.25</v>
      </c>
    </row>
    <row r="135" spans="1:13">
      <c r="A135" s="287" t="s">
        <v>160</v>
      </c>
      <c r="B135" s="159"/>
      <c r="C135" s="159"/>
      <c r="D135" s="159"/>
      <c r="E135" s="252">
        <f>+E123*E131*5500/1000</f>
        <v>0</v>
      </c>
      <c r="F135" s="252">
        <f t="shared" si="44"/>
        <v>0</v>
      </c>
      <c r="G135" s="252">
        <f t="shared" si="44"/>
        <v>148.5</v>
      </c>
      <c r="H135" s="252">
        <f t="shared" si="44"/>
        <v>1089</v>
      </c>
      <c r="I135" s="252">
        <f t="shared" si="44"/>
        <v>1089</v>
      </c>
      <c r="J135" s="252">
        <f t="shared" si="44"/>
        <v>1113.75</v>
      </c>
      <c r="K135" s="252">
        <f t="shared" si="44"/>
        <v>1089</v>
      </c>
      <c r="L135" s="252">
        <f t="shared" ref="L135:M135" si="46">+L123*L131*5500/1000</f>
        <v>1113.75</v>
      </c>
      <c r="M135" s="252">
        <f t="shared" si="46"/>
        <v>1089</v>
      </c>
    </row>
    <row r="136" spans="1:13">
      <c r="A136" s="287" t="s">
        <v>277</v>
      </c>
      <c r="B136" s="159"/>
      <c r="C136" s="159"/>
      <c r="D136" s="159"/>
      <c r="E136" s="252">
        <f t="shared" ref="E136:M136" si="47">+E73*E132/1000</f>
        <v>0</v>
      </c>
      <c r="F136" s="252">
        <f t="shared" si="47"/>
        <v>0</v>
      </c>
      <c r="G136" s="252">
        <f t="shared" si="47"/>
        <v>0</v>
      </c>
      <c r="H136" s="252">
        <f t="shared" si="47"/>
        <v>0</v>
      </c>
      <c r="I136" s="252">
        <f t="shared" si="47"/>
        <v>0</v>
      </c>
      <c r="J136" s="252">
        <f t="shared" si="47"/>
        <v>0</v>
      </c>
      <c r="K136" s="252">
        <f t="shared" si="47"/>
        <v>0</v>
      </c>
      <c r="L136" s="252">
        <f t="shared" si="47"/>
        <v>0</v>
      </c>
      <c r="M136" s="252">
        <f t="shared" si="47"/>
        <v>0</v>
      </c>
    </row>
    <row r="137" spans="1:13">
      <c r="A137" s="253"/>
      <c r="B137" s="159"/>
      <c r="C137" s="159"/>
      <c r="D137" s="159"/>
      <c r="E137" s="159"/>
      <c r="F137" s="159"/>
      <c r="G137" s="159"/>
      <c r="H137" s="159"/>
      <c r="I137" s="159"/>
      <c r="J137" s="159"/>
      <c r="K137" s="159"/>
      <c r="L137" s="159"/>
      <c r="M137" s="159"/>
    </row>
    <row r="138" spans="1:13">
      <c r="A138" s="253" t="s">
        <v>161</v>
      </c>
      <c r="B138" s="159"/>
      <c r="C138" s="159"/>
      <c r="D138" s="159"/>
      <c r="E138" s="252">
        <f>+SUM(E134:E136)</f>
        <v>0</v>
      </c>
      <c r="F138" s="252">
        <f t="shared" ref="F138:K138" si="48">+SUM(F134:F136)</f>
        <v>0</v>
      </c>
      <c r="G138" s="252">
        <f t="shared" si="48"/>
        <v>330</v>
      </c>
      <c r="H138" s="252">
        <f t="shared" si="48"/>
        <v>1270.5</v>
      </c>
      <c r="I138" s="252">
        <f t="shared" si="48"/>
        <v>1270.5</v>
      </c>
      <c r="J138" s="252">
        <f t="shared" si="48"/>
        <v>1287</v>
      </c>
      <c r="K138" s="252">
        <f t="shared" si="48"/>
        <v>1262.25</v>
      </c>
      <c r="L138" s="252">
        <f t="shared" ref="L138:M138" si="49">+SUM(L134:L136)</f>
        <v>1287</v>
      </c>
      <c r="M138" s="252">
        <f t="shared" si="49"/>
        <v>1262.25</v>
      </c>
    </row>
    <row r="139" spans="1:13">
      <c r="A139" s="253"/>
      <c r="B139" s="159"/>
      <c r="C139" s="159"/>
      <c r="D139" s="159"/>
      <c r="E139" s="159"/>
      <c r="F139" s="159"/>
      <c r="G139" s="159"/>
      <c r="H139" s="159"/>
      <c r="I139" s="159"/>
      <c r="J139" s="159"/>
      <c r="K139" s="159"/>
      <c r="L139" s="159"/>
      <c r="M139" s="159"/>
    </row>
    <row r="140" spans="1:13">
      <c r="A140" s="253" t="s">
        <v>162</v>
      </c>
      <c r="B140" s="159"/>
      <c r="C140" s="159"/>
      <c r="D140" s="159"/>
      <c r="E140" s="159">
        <v>42500</v>
      </c>
      <c r="F140" s="159">
        <v>42500</v>
      </c>
      <c r="G140" s="159">
        <v>42500</v>
      </c>
      <c r="H140" s="159">
        <v>42500</v>
      </c>
      <c r="I140" s="159">
        <v>42500</v>
      </c>
      <c r="J140" s="159">
        <v>42500</v>
      </c>
      <c r="K140" s="159">
        <v>42500</v>
      </c>
      <c r="L140" s="159">
        <v>42500</v>
      </c>
      <c r="M140" s="159">
        <v>42500</v>
      </c>
    </row>
    <row r="141" spans="1:13">
      <c r="A141" s="159"/>
      <c r="B141" s="159"/>
      <c r="C141" s="159"/>
      <c r="D141" s="159"/>
      <c r="E141" s="159"/>
      <c r="F141" s="159"/>
      <c r="G141" s="159"/>
      <c r="H141" s="159"/>
      <c r="I141" s="159"/>
      <c r="J141" s="159"/>
      <c r="K141" s="159"/>
      <c r="L141" s="159"/>
      <c r="M141" s="159"/>
    </row>
    <row r="142" spans="1:13">
      <c r="A142" s="364" t="s">
        <v>163</v>
      </c>
      <c r="B142" s="364"/>
      <c r="C142" s="364"/>
      <c r="D142" s="364"/>
      <c r="E142" s="385">
        <f>+E138*E140/10^5</f>
        <v>0</v>
      </c>
      <c r="F142" s="385">
        <f t="shared" ref="F142:K142" si="50">+F138*F140/10^5</f>
        <v>0</v>
      </c>
      <c r="G142" s="385">
        <f t="shared" si="50"/>
        <v>140.25</v>
      </c>
      <c r="H142" s="385">
        <f t="shared" si="50"/>
        <v>539.96249999999998</v>
      </c>
      <c r="I142" s="385">
        <f t="shared" si="50"/>
        <v>539.96249999999998</v>
      </c>
      <c r="J142" s="385">
        <f t="shared" si="50"/>
        <v>546.97500000000002</v>
      </c>
      <c r="K142" s="385">
        <f t="shared" si="50"/>
        <v>536.45624999999995</v>
      </c>
      <c r="L142" s="385">
        <f t="shared" ref="L142:M142" si="51">+L138*L140/10^5</f>
        <v>546.97500000000002</v>
      </c>
      <c r="M142" s="385">
        <f t="shared" si="51"/>
        <v>536.45624999999995</v>
      </c>
    </row>
    <row r="143" spans="1:13">
      <c r="A143" s="159"/>
      <c r="B143" s="159"/>
      <c r="C143" s="159"/>
      <c r="D143" s="159"/>
      <c r="E143" s="159"/>
      <c r="F143" s="159"/>
      <c r="G143" s="159"/>
      <c r="H143" s="159"/>
      <c r="I143" s="159"/>
      <c r="J143" s="159"/>
      <c r="K143" s="159"/>
      <c r="L143" s="159"/>
      <c r="M143" s="159"/>
    </row>
    <row r="144" spans="1:13">
      <c r="A144" s="159"/>
      <c r="B144" s="159"/>
      <c r="C144" s="159"/>
      <c r="D144" s="159"/>
      <c r="E144" s="159"/>
      <c r="F144" s="159"/>
      <c r="G144" s="159"/>
      <c r="H144" s="159"/>
      <c r="I144" s="159"/>
      <c r="J144" s="159"/>
      <c r="K144" s="159"/>
      <c r="L144" s="159"/>
      <c r="M144" s="159"/>
    </row>
    <row r="145" spans="1:13">
      <c r="A145" s="382" t="s">
        <v>165</v>
      </c>
      <c r="B145" s="384"/>
      <c r="C145" s="384"/>
      <c r="D145" s="384"/>
      <c r="E145" s="384"/>
      <c r="F145" s="384"/>
      <c r="G145" s="384"/>
      <c r="H145" s="384"/>
      <c r="I145" s="384"/>
      <c r="J145" s="384"/>
      <c r="K145" s="384"/>
      <c r="L145" s="384"/>
      <c r="M145" s="384"/>
    </row>
    <row r="146" spans="1:13">
      <c r="A146" s="384"/>
      <c r="B146" s="384"/>
      <c r="C146" s="384"/>
      <c r="D146" s="384"/>
      <c r="E146" s="384"/>
      <c r="F146" s="384"/>
      <c r="G146" s="384"/>
      <c r="H146" s="384"/>
      <c r="I146" s="384"/>
      <c r="J146" s="384"/>
      <c r="K146" s="384"/>
      <c r="L146" s="384"/>
      <c r="M146" s="384"/>
    </row>
    <row r="147" spans="1:13">
      <c r="A147" s="253" t="s">
        <v>169</v>
      </c>
      <c r="B147" s="159"/>
      <c r="C147" s="159"/>
      <c r="D147" s="159"/>
      <c r="E147" s="159">
        <v>21.11</v>
      </c>
      <c r="F147" s="159">
        <v>21.11</v>
      </c>
      <c r="G147" s="159">
        <v>21.11</v>
      </c>
      <c r="H147" s="159">
        <v>21.11</v>
      </c>
      <c r="I147" s="159">
        <v>21.11</v>
      </c>
      <c r="J147" s="159">
        <v>21.11</v>
      </c>
      <c r="K147" s="159">
        <v>21.11</v>
      </c>
      <c r="L147" s="159">
        <v>21.11</v>
      </c>
      <c r="M147" s="159">
        <v>21.11</v>
      </c>
    </row>
    <row r="148" spans="1:13">
      <c r="A148" s="253" t="s">
        <v>170</v>
      </c>
      <c r="B148" s="159"/>
      <c r="C148" s="159"/>
      <c r="D148" s="159"/>
      <c r="E148" s="159">
        <v>3.04</v>
      </c>
      <c r="F148" s="159">
        <v>3.04</v>
      </c>
      <c r="G148" s="159">
        <v>3.04</v>
      </c>
      <c r="H148" s="159">
        <v>3.04</v>
      </c>
      <c r="I148" s="159">
        <v>3.04</v>
      </c>
      <c r="J148" s="159">
        <v>3.04</v>
      </c>
      <c r="K148" s="159">
        <v>3.04</v>
      </c>
      <c r="L148" s="159">
        <v>3.04</v>
      </c>
      <c r="M148" s="159">
        <v>3.04</v>
      </c>
    </row>
    <row r="149" spans="1:13">
      <c r="A149" s="253" t="s">
        <v>278</v>
      </c>
      <c r="B149" s="159"/>
      <c r="C149" s="159"/>
      <c r="D149" s="159"/>
      <c r="E149" s="159">
        <v>3.04</v>
      </c>
      <c r="F149" s="159">
        <v>3.04</v>
      </c>
      <c r="G149" s="159">
        <v>3.04</v>
      </c>
      <c r="H149" s="159">
        <v>3.04</v>
      </c>
      <c r="I149" s="159">
        <v>3.04</v>
      </c>
      <c r="J149" s="159">
        <v>3.04</v>
      </c>
      <c r="K149" s="159">
        <v>3.04</v>
      </c>
      <c r="L149" s="159">
        <v>3.04</v>
      </c>
      <c r="M149" s="159">
        <v>3.04</v>
      </c>
    </row>
    <row r="150" spans="1:13">
      <c r="A150" s="253"/>
      <c r="B150" s="159"/>
      <c r="C150" s="159"/>
      <c r="D150" s="159"/>
      <c r="E150" s="159"/>
      <c r="F150" s="159"/>
      <c r="G150" s="159"/>
      <c r="H150" s="159"/>
      <c r="I150" s="159"/>
      <c r="J150" s="159"/>
      <c r="K150" s="159"/>
      <c r="L150" s="159"/>
      <c r="M150" s="159"/>
    </row>
    <row r="151" spans="1:13">
      <c r="A151" s="253" t="s">
        <v>166</v>
      </c>
      <c r="B151" s="159"/>
      <c r="C151" s="159"/>
      <c r="D151" s="159"/>
      <c r="E151" s="252">
        <f>+E122*E147*5500</f>
        <v>0</v>
      </c>
      <c r="F151" s="252">
        <f t="shared" ref="F151:K152" si="52">+F122*F147*5500</f>
        <v>0</v>
      </c>
      <c r="G151" s="252">
        <f t="shared" si="52"/>
        <v>2554310</v>
      </c>
      <c r="H151" s="252">
        <f t="shared" si="52"/>
        <v>2554310</v>
      </c>
      <c r="I151" s="252">
        <f t="shared" si="52"/>
        <v>2554310</v>
      </c>
      <c r="J151" s="252">
        <f t="shared" si="52"/>
        <v>2438205</v>
      </c>
      <c r="K151" s="252">
        <f t="shared" si="52"/>
        <v>2438205</v>
      </c>
      <c r="L151" s="252">
        <f t="shared" ref="L151:M151" si="53">+L122*L147*5500</f>
        <v>2438205</v>
      </c>
      <c r="M151" s="252">
        <f t="shared" si="53"/>
        <v>2438205</v>
      </c>
    </row>
    <row r="152" spans="1:13">
      <c r="A152" s="253" t="s">
        <v>167</v>
      </c>
      <c r="B152" s="159"/>
      <c r="C152" s="159"/>
      <c r="D152" s="159"/>
      <c r="E152" s="252">
        <f>+E123*E148*5500</f>
        <v>0</v>
      </c>
      <c r="F152" s="252">
        <f t="shared" si="52"/>
        <v>0</v>
      </c>
      <c r="G152" s="252">
        <f t="shared" si="52"/>
        <v>100320.00000000001</v>
      </c>
      <c r="H152" s="252">
        <f t="shared" si="52"/>
        <v>735680</v>
      </c>
      <c r="I152" s="252">
        <f t="shared" si="52"/>
        <v>735680</v>
      </c>
      <c r="J152" s="252">
        <f t="shared" si="52"/>
        <v>752400.00000000012</v>
      </c>
      <c r="K152" s="252">
        <f t="shared" si="52"/>
        <v>735680</v>
      </c>
      <c r="L152" s="252">
        <f t="shared" ref="L152:M152" si="54">+L123*L148*5500</f>
        <v>752400.00000000012</v>
      </c>
      <c r="M152" s="252">
        <f t="shared" si="54"/>
        <v>735680</v>
      </c>
    </row>
    <row r="153" spans="1:13">
      <c r="A153" s="253" t="s">
        <v>279</v>
      </c>
      <c r="B153" s="159"/>
      <c r="C153" s="159"/>
      <c r="D153" s="159"/>
      <c r="E153" s="252">
        <f>+E149*'Production, Revenue &amp; Profi P2'!E75</f>
        <v>0</v>
      </c>
      <c r="F153" s="252">
        <f>+F149*'Production, Revenue &amp; Profi P2'!F75</f>
        <v>0</v>
      </c>
      <c r="G153" s="252">
        <f>+G149*'Production, Revenue &amp; Profi P2'!G75</f>
        <v>0</v>
      </c>
      <c r="H153" s="252">
        <f>+H149*'Production, Revenue &amp; Profi P2'!H75</f>
        <v>0</v>
      </c>
      <c r="I153" s="252">
        <f>+I149*'Production, Revenue &amp; Profi P2'!I75</f>
        <v>0</v>
      </c>
      <c r="J153" s="252">
        <f>+J149*'Production, Revenue &amp; Profi P2'!J75</f>
        <v>0</v>
      </c>
      <c r="K153" s="252">
        <f>+K149*'Production, Revenue &amp; Profi P2'!K75</f>
        <v>0</v>
      </c>
      <c r="L153" s="252">
        <f>+L149*'Production, Revenue &amp; Profi P2'!L75</f>
        <v>0</v>
      </c>
      <c r="M153" s="252">
        <f>+M149*'Production, Revenue &amp; Profi P2'!M75</f>
        <v>0</v>
      </c>
    </row>
    <row r="154" spans="1:13">
      <c r="A154" s="253"/>
      <c r="B154" s="159"/>
      <c r="C154" s="159"/>
      <c r="D154" s="159"/>
      <c r="E154" s="159"/>
      <c r="F154" s="159"/>
      <c r="G154" s="159"/>
      <c r="H154" s="159"/>
      <c r="I154" s="159"/>
      <c r="J154" s="159"/>
      <c r="K154" s="159"/>
      <c r="L154" s="159"/>
      <c r="M154" s="159"/>
    </row>
    <row r="155" spans="1:13">
      <c r="A155" s="382" t="s">
        <v>168</v>
      </c>
      <c r="B155" s="382"/>
      <c r="C155" s="382"/>
      <c r="D155" s="382"/>
      <c r="E155" s="386">
        <f>(+E151+E152+E153)/10^5</f>
        <v>0</v>
      </c>
      <c r="F155" s="386">
        <f t="shared" ref="F155:K155" si="55">(+F151+F152+F153)/10^5</f>
        <v>0</v>
      </c>
      <c r="G155" s="386">
        <f t="shared" si="55"/>
        <v>26.546299999999999</v>
      </c>
      <c r="H155" s="386">
        <f t="shared" si="55"/>
        <v>32.899900000000002</v>
      </c>
      <c r="I155" s="386">
        <f t="shared" si="55"/>
        <v>32.899900000000002</v>
      </c>
      <c r="J155" s="386">
        <f t="shared" si="55"/>
        <v>31.90605</v>
      </c>
      <c r="K155" s="386">
        <f t="shared" si="55"/>
        <v>31.738849999999999</v>
      </c>
      <c r="L155" s="386">
        <f t="shared" ref="L155:M155" si="56">(+L151+L152+L153)/10^5</f>
        <v>31.90605</v>
      </c>
      <c r="M155" s="386">
        <f t="shared" si="56"/>
        <v>31.738849999999999</v>
      </c>
    </row>
    <row r="156" spans="1:13">
      <c r="A156" s="370"/>
      <c r="B156" s="370"/>
      <c r="C156" s="370"/>
      <c r="D156" s="370"/>
      <c r="E156" s="387"/>
      <c r="F156" s="387"/>
      <c r="G156" s="387"/>
      <c r="H156" s="387"/>
      <c r="I156" s="387"/>
      <c r="J156" s="387"/>
      <c r="K156" s="387"/>
      <c r="L156" s="387"/>
      <c r="M156" s="387"/>
    </row>
    <row r="157" spans="1:13">
      <c r="A157" s="370" t="s">
        <v>173</v>
      </c>
      <c r="B157" s="370"/>
      <c r="C157" s="370"/>
      <c r="D157" s="370"/>
      <c r="E157" s="387"/>
      <c r="F157" s="387"/>
      <c r="G157" s="387"/>
      <c r="H157" s="387"/>
      <c r="I157" s="387"/>
      <c r="J157" s="387"/>
      <c r="K157" s="387"/>
      <c r="L157" s="387"/>
      <c r="M157" s="387"/>
    </row>
    <row r="158" spans="1:13">
      <c r="A158" s="233" t="s">
        <v>409</v>
      </c>
      <c r="B158" s="233"/>
      <c r="C158" s="233"/>
      <c r="D158" s="233"/>
      <c r="E158" s="261">
        <v>0</v>
      </c>
      <c r="F158" s="261">
        <v>0</v>
      </c>
      <c r="G158" s="261">
        <v>22000</v>
      </c>
      <c r="H158" s="261">
        <v>22000</v>
      </c>
      <c r="I158" s="261">
        <v>22000</v>
      </c>
      <c r="J158" s="261">
        <v>22000</v>
      </c>
      <c r="K158" s="261">
        <v>22000</v>
      </c>
      <c r="L158" s="261">
        <v>22000</v>
      </c>
      <c r="M158" s="261">
        <v>22000</v>
      </c>
    </row>
    <row r="159" spans="1:13">
      <c r="A159" s="233" t="s">
        <v>373</v>
      </c>
      <c r="B159" s="233"/>
      <c r="C159" s="233"/>
      <c r="D159" s="233"/>
      <c r="E159" s="261"/>
      <c r="F159" s="232">
        <v>1</v>
      </c>
      <c r="G159" s="232">
        <v>1</v>
      </c>
      <c r="H159" s="232">
        <v>1</v>
      </c>
      <c r="I159" s="232">
        <v>1</v>
      </c>
      <c r="J159" s="232">
        <v>1</v>
      </c>
      <c r="K159" s="232">
        <v>1</v>
      </c>
      <c r="L159" s="232">
        <v>1</v>
      </c>
      <c r="M159" s="232">
        <v>1</v>
      </c>
    </row>
    <row r="160" spans="1:13">
      <c r="A160" s="382" t="s">
        <v>410</v>
      </c>
      <c r="B160" s="382"/>
      <c r="C160" s="382"/>
      <c r="D160" s="382"/>
      <c r="E160" s="386"/>
      <c r="F160" s="386">
        <f>+F158*F159</f>
        <v>0</v>
      </c>
      <c r="G160" s="386">
        <f t="shared" ref="G160:K160" si="57">+G158*G159</f>
        <v>22000</v>
      </c>
      <c r="H160" s="386">
        <f t="shared" si="57"/>
        <v>22000</v>
      </c>
      <c r="I160" s="386">
        <f t="shared" si="57"/>
        <v>22000</v>
      </c>
      <c r="J160" s="386">
        <f t="shared" si="57"/>
        <v>22000</v>
      </c>
      <c r="K160" s="386">
        <f t="shared" si="57"/>
        <v>22000</v>
      </c>
      <c r="L160" s="386">
        <f t="shared" ref="L160:M160" si="58">+L158*L159</f>
        <v>22000</v>
      </c>
      <c r="M160" s="386">
        <f t="shared" si="58"/>
        <v>22000</v>
      </c>
    </row>
    <row r="161" spans="1:13">
      <c r="A161" s="233" t="s">
        <v>411</v>
      </c>
      <c r="B161" s="233"/>
      <c r="C161" s="233"/>
      <c r="D161" s="233"/>
      <c r="E161" s="261">
        <f>+E158*0.15</f>
        <v>0</v>
      </c>
      <c r="F161" s="261">
        <f>+F160*0.15</f>
        <v>0</v>
      </c>
      <c r="G161" s="261">
        <f t="shared" ref="G161:K161" si="59">+G160*0.15</f>
        <v>3300</v>
      </c>
      <c r="H161" s="261">
        <f t="shared" si="59"/>
        <v>3300</v>
      </c>
      <c r="I161" s="261">
        <f t="shared" si="59"/>
        <v>3300</v>
      </c>
      <c r="J161" s="261">
        <f t="shared" si="59"/>
        <v>3300</v>
      </c>
      <c r="K161" s="261">
        <f t="shared" si="59"/>
        <v>3300</v>
      </c>
      <c r="L161" s="261">
        <f t="shared" ref="L161:M161" si="60">+L160*0.15</f>
        <v>3300</v>
      </c>
      <c r="M161" s="261">
        <f t="shared" si="60"/>
        <v>3300</v>
      </c>
    </row>
    <row r="162" spans="1:13">
      <c r="A162" s="233"/>
      <c r="B162" s="233"/>
      <c r="C162" s="233"/>
      <c r="D162" s="233"/>
      <c r="E162" s="261"/>
      <c r="F162" s="261"/>
      <c r="G162" s="261"/>
      <c r="H162" s="261"/>
      <c r="I162" s="261"/>
      <c r="J162" s="261"/>
      <c r="K162" s="261"/>
      <c r="L162" s="261"/>
      <c r="M162" s="261"/>
    </row>
    <row r="163" spans="1:13">
      <c r="A163" s="233" t="s">
        <v>0</v>
      </c>
      <c r="B163" s="233"/>
      <c r="C163" s="233"/>
      <c r="D163" s="233"/>
      <c r="E163" s="261">
        <f>+E158+E161</f>
        <v>0</v>
      </c>
      <c r="F163" s="261">
        <f>+F160+F161</f>
        <v>0</v>
      </c>
      <c r="G163" s="261">
        <f t="shared" ref="G163:K163" si="61">+G160+G161</f>
        <v>25300</v>
      </c>
      <c r="H163" s="261">
        <f t="shared" si="61"/>
        <v>25300</v>
      </c>
      <c r="I163" s="261">
        <f t="shared" si="61"/>
        <v>25300</v>
      </c>
      <c r="J163" s="261">
        <f t="shared" si="61"/>
        <v>25300</v>
      </c>
      <c r="K163" s="261">
        <f t="shared" si="61"/>
        <v>25300</v>
      </c>
      <c r="L163" s="261">
        <f t="shared" ref="L163:M163" si="62">+L160+L161</f>
        <v>25300</v>
      </c>
      <c r="M163" s="261">
        <f t="shared" si="62"/>
        <v>25300</v>
      </c>
    </row>
    <row r="164" spans="1:13">
      <c r="A164" s="233"/>
      <c r="B164" s="233"/>
      <c r="C164" s="233"/>
      <c r="D164" s="233"/>
      <c r="E164" s="261"/>
      <c r="F164" s="261"/>
      <c r="G164" s="261"/>
      <c r="H164" s="261"/>
      <c r="I164" s="261"/>
      <c r="J164" s="261"/>
      <c r="K164" s="261"/>
      <c r="L164" s="261"/>
      <c r="M164" s="261"/>
    </row>
    <row r="165" spans="1:13">
      <c r="A165" s="233" t="s">
        <v>174</v>
      </c>
      <c r="B165" s="233"/>
      <c r="C165" s="233"/>
      <c r="D165" s="233"/>
      <c r="E165" s="261">
        <v>400</v>
      </c>
      <c r="F165" s="261">
        <v>400</v>
      </c>
      <c r="G165" s="261">
        <v>400</v>
      </c>
      <c r="H165" s="261">
        <v>400</v>
      </c>
      <c r="I165" s="261">
        <v>400</v>
      </c>
      <c r="J165" s="261">
        <v>400</v>
      </c>
      <c r="K165" s="261">
        <v>400</v>
      </c>
      <c r="L165" s="261">
        <v>400</v>
      </c>
      <c r="M165" s="261">
        <v>400</v>
      </c>
    </row>
    <row r="166" spans="1:13">
      <c r="A166" s="233"/>
      <c r="B166" s="233"/>
      <c r="C166" s="233"/>
      <c r="D166" s="233"/>
      <c r="E166" s="261"/>
      <c r="F166" s="261"/>
      <c r="G166" s="261"/>
      <c r="H166" s="261"/>
      <c r="I166" s="261"/>
      <c r="J166" s="261"/>
      <c r="K166" s="261"/>
      <c r="L166" s="261"/>
      <c r="M166" s="261"/>
    </row>
    <row r="167" spans="1:13">
      <c r="A167" s="388" t="s">
        <v>175</v>
      </c>
      <c r="B167" s="388"/>
      <c r="C167" s="388"/>
      <c r="D167" s="388"/>
      <c r="E167" s="389">
        <f>+E163*E165/10^5</f>
        <v>0</v>
      </c>
      <c r="F167" s="389">
        <f t="shared" ref="F167:K167" si="63">+F163*F165/10^5</f>
        <v>0</v>
      </c>
      <c r="G167" s="389">
        <f t="shared" si="63"/>
        <v>101.2</v>
      </c>
      <c r="H167" s="389">
        <f t="shared" si="63"/>
        <v>101.2</v>
      </c>
      <c r="I167" s="389">
        <f t="shared" si="63"/>
        <v>101.2</v>
      </c>
      <c r="J167" s="389">
        <f t="shared" si="63"/>
        <v>101.2</v>
      </c>
      <c r="K167" s="389">
        <f t="shared" si="63"/>
        <v>101.2</v>
      </c>
      <c r="L167" s="389">
        <f t="shared" ref="L167:M167" si="64">+L163*L165/10^5</f>
        <v>101.2</v>
      </c>
      <c r="M167" s="389">
        <f t="shared" si="64"/>
        <v>101.2</v>
      </c>
    </row>
    <row r="168" spans="1:13" ht="18.75" customHeight="1">
      <c r="A168" s="248"/>
      <c r="B168" s="249"/>
      <c r="C168" s="249"/>
      <c r="D168" s="249"/>
      <c r="E168" s="249"/>
      <c r="F168" s="249"/>
      <c r="G168" s="249"/>
      <c r="H168" s="249"/>
      <c r="I168" s="249"/>
      <c r="J168" s="249"/>
      <c r="K168" s="249"/>
      <c r="L168" s="249"/>
      <c r="M168" s="249"/>
    </row>
    <row r="169" spans="1:13" ht="18.75" customHeight="1">
      <c r="A169" s="370" t="s">
        <v>188</v>
      </c>
      <c r="B169" s="370"/>
      <c r="C169" s="370"/>
      <c r="D169" s="370"/>
      <c r="E169" s="387"/>
      <c r="F169" s="387"/>
      <c r="G169" s="387"/>
      <c r="H169" s="387"/>
      <c r="I169" s="387"/>
      <c r="J169" s="387"/>
      <c r="K169" s="387"/>
      <c r="L169" s="387"/>
      <c r="M169" s="387"/>
    </row>
    <row r="170" spans="1:13" ht="18.75" customHeight="1">
      <c r="A170" s="233"/>
      <c r="B170" s="233"/>
      <c r="C170" s="233"/>
      <c r="D170" s="233"/>
      <c r="E170" s="261"/>
      <c r="F170" s="261"/>
      <c r="G170" s="261"/>
      <c r="H170" s="261"/>
      <c r="I170" s="261"/>
      <c r="J170" s="261"/>
      <c r="K170" s="261"/>
      <c r="L170" s="261"/>
      <c r="M170" s="261"/>
    </row>
    <row r="171" spans="1:13" ht="18.75" customHeight="1">
      <c r="A171" s="233" t="s">
        <v>189</v>
      </c>
      <c r="B171" s="233"/>
      <c r="C171" s="233"/>
      <c r="D171" s="233"/>
      <c r="E171" s="281">
        <f>+$E$50*$E$51</f>
        <v>0</v>
      </c>
      <c r="F171" s="281">
        <f>+$F$50*$F$51</f>
        <v>0</v>
      </c>
      <c r="G171" s="281">
        <f>+$G$50*$G$51</f>
        <v>496850.86956521741</v>
      </c>
      <c r="H171" s="281">
        <f>+$H$50*$H$51</f>
        <v>3643573.0434782603</v>
      </c>
      <c r="I171" s="281">
        <f>+$I$50*$I$51</f>
        <v>3643573.0434782603</v>
      </c>
      <c r="J171" s="281">
        <f>+$J$50*$J$51</f>
        <v>3726381.5217391304</v>
      </c>
      <c r="K171" s="281">
        <f>+$K$50*$K$51</f>
        <v>3643573.0434782603</v>
      </c>
      <c r="L171" s="281">
        <f t="shared" ref="L171:M171" si="65">+$K$50*$K$51</f>
        <v>3643573.0434782603</v>
      </c>
      <c r="M171" s="281">
        <f t="shared" si="65"/>
        <v>3643573.0434782603</v>
      </c>
    </row>
    <row r="172" spans="1:13" ht="18.75" customHeight="1">
      <c r="A172" s="233" t="s">
        <v>190</v>
      </c>
      <c r="B172" s="233"/>
      <c r="C172" s="233"/>
      <c r="D172" s="233"/>
      <c r="E172" s="261">
        <v>1</v>
      </c>
      <c r="F172" s="261">
        <v>1</v>
      </c>
      <c r="G172" s="261">
        <v>1</v>
      </c>
      <c r="H172" s="261">
        <v>1</v>
      </c>
      <c r="I172" s="261">
        <v>1</v>
      </c>
      <c r="J172" s="261">
        <v>1</v>
      </c>
      <c r="K172" s="261">
        <v>1</v>
      </c>
      <c r="L172" s="261">
        <v>1</v>
      </c>
      <c r="M172" s="261">
        <v>1</v>
      </c>
    </row>
    <row r="173" spans="1:13" ht="18.75" customHeight="1">
      <c r="A173" s="233" t="s">
        <v>191</v>
      </c>
      <c r="B173" s="233"/>
      <c r="C173" s="233"/>
      <c r="D173" s="233"/>
      <c r="E173" s="281">
        <f>+E171*E172</f>
        <v>0</v>
      </c>
      <c r="F173" s="281">
        <f t="shared" ref="F173:K173" si="66">+F171*F172</f>
        <v>0</v>
      </c>
      <c r="G173" s="281">
        <f t="shared" si="66"/>
        <v>496850.86956521741</v>
      </c>
      <c r="H173" s="281">
        <f t="shared" si="66"/>
        <v>3643573.0434782603</v>
      </c>
      <c r="I173" s="281">
        <f t="shared" si="66"/>
        <v>3643573.0434782603</v>
      </c>
      <c r="J173" s="281">
        <f t="shared" si="66"/>
        <v>3726381.5217391304</v>
      </c>
      <c r="K173" s="281">
        <f t="shared" si="66"/>
        <v>3643573.0434782603</v>
      </c>
      <c r="L173" s="281">
        <f t="shared" ref="L173:M173" si="67">+L171*L172</f>
        <v>3643573.0434782603</v>
      </c>
      <c r="M173" s="281">
        <f t="shared" si="67"/>
        <v>3643573.0434782603</v>
      </c>
    </row>
    <row r="174" spans="1:13" ht="18.75" customHeight="1">
      <c r="A174" s="233" t="s">
        <v>192</v>
      </c>
      <c r="B174" s="233"/>
      <c r="C174" s="233"/>
      <c r="D174" s="233"/>
      <c r="E174" s="261">
        <v>0.9</v>
      </c>
      <c r="F174" s="261">
        <v>0.9</v>
      </c>
      <c r="G174" s="261">
        <v>0.9</v>
      </c>
      <c r="H174" s="261">
        <v>0.9</v>
      </c>
      <c r="I174" s="261">
        <v>0.9</v>
      </c>
      <c r="J174" s="261">
        <v>0.9</v>
      </c>
      <c r="K174" s="261">
        <v>0.9</v>
      </c>
      <c r="L174" s="261">
        <v>0.9</v>
      </c>
      <c r="M174" s="261">
        <v>0.9</v>
      </c>
    </row>
    <row r="175" spans="1:13" ht="18.75" customHeight="1">
      <c r="A175" s="388" t="s">
        <v>175</v>
      </c>
      <c r="B175" s="388"/>
      <c r="C175" s="388"/>
      <c r="D175" s="388"/>
      <c r="E175" s="389">
        <f>+E173*E174/10^5</f>
        <v>0</v>
      </c>
      <c r="F175" s="389">
        <f t="shared" ref="F175:K175" si="68">+F173*F174/10^5</f>
        <v>0</v>
      </c>
      <c r="G175" s="389">
        <f t="shared" si="68"/>
        <v>4.4716578260869566</v>
      </c>
      <c r="H175" s="389">
        <f t="shared" si="68"/>
        <v>32.792157391304343</v>
      </c>
      <c r="I175" s="389">
        <f t="shared" si="68"/>
        <v>32.792157391304343</v>
      </c>
      <c r="J175" s="389">
        <f t="shared" si="68"/>
        <v>33.537433695652176</v>
      </c>
      <c r="K175" s="389">
        <f t="shared" si="68"/>
        <v>32.792157391304343</v>
      </c>
      <c r="L175" s="389">
        <f t="shared" ref="L175:M175" si="69">+L173*L174/10^5</f>
        <v>32.792157391304343</v>
      </c>
      <c r="M175" s="389">
        <f t="shared" si="69"/>
        <v>32.792157391304343</v>
      </c>
    </row>
    <row r="176" spans="1:13" ht="18.75" customHeight="1">
      <c r="A176" s="248"/>
      <c r="B176" s="249"/>
      <c r="C176" s="249"/>
      <c r="D176" s="249"/>
      <c r="E176" s="249"/>
      <c r="F176" s="249"/>
      <c r="G176" s="249"/>
      <c r="H176" s="249"/>
      <c r="I176" s="249"/>
      <c r="J176" s="249"/>
      <c r="K176" s="249"/>
      <c r="L176" s="249"/>
      <c r="M176" s="249"/>
    </row>
    <row r="177" spans="1:13" ht="18.75" customHeight="1">
      <c r="A177" s="370" t="s">
        <v>193</v>
      </c>
      <c r="B177" s="370"/>
      <c r="C177" s="370"/>
      <c r="D177" s="370"/>
      <c r="E177" s="387"/>
      <c r="F177" s="387"/>
      <c r="G177" s="387"/>
      <c r="H177" s="387"/>
      <c r="I177" s="387"/>
      <c r="J177" s="387"/>
      <c r="K177" s="387"/>
      <c r="L177" s="387"/>
      <c r="M177" s="387"/>
    </row>
    <row r="178" spans="1:13" ht="18.75" customHeight="1">
      <c r="A178" s="233" t="s">
        <v>280</v>
      </c>
      <c r="B178" s="233"/>
      <c r="C178" s="233"/>
      <c r="D178" s="233"/>
      <c r="E178" s="261"/>
      <c r="F178" s="261"/>
      <c r="G178" s="261"/>
      <c r="H178" s="261"/>
      <c r="I178" s="261"/>
      <c r="J178" s="261"/>
      <c r="K178" s="261"/>
      <c r="L178" s="261"/>
      <c r="M178" s="261"/>
    </row>
    <row r="179" spans="1:13" ht="18.75" customHeight="1">
      <c r="A179" s="233" t="s">
        <v>189</v>
      </c>
      <c r="B179" s="233"/>
      <c r="C179" s="233"/>
      <c r="D179" s="233"/>
      <c r="E179" s="281">
        <f>+E171</f>
        <v>0</v>
      </c>
      <c r="F179" s="281">
        <f t="shared" ref="F179:K179" si="70">+F171</f>
        <v>0</v>
      </c>
      <c r="G179" s="281">
        <f t="shared" si="70"/>
        <v>496850.86956521741</v>
      </c>
      <c r="H179" s="281">
        <f t="shared" si="70"/>
        <v>3643573.0434782603</v>
      </c>
      <c r="I179" s="281">
        <f t="shared" si="70"/>
        <v>3643573.0434782603</v>
      </c>
      <c r="J179" s="281">
        <f t="shared" si="70"/>
        <v>3726381.5217391304</v>
      </c>
      <c r="K179" s="281">
        <f t="shared" si="70"/>
        <v>3643573.0434782603</v>
      </c>
      <c r="L179" s="281">
        <f t="shared" ref="L179:M179" si="71">+L171</f>
        <v>3643573.0434782603</v>
      </c>
      <c r="M179" s="281">
        <f t="shared" si="71"/>
        <v>3643573.0434782603</v>
      </c>
    </row>
    <row r="180" spans="1:13" ht="18.75" customHeight="1">
      <c r="A180" s="233" t="s">
        <v>194</v>
      </c>
      <c r="B180" s="233"/>
      <c r="C180" s="233"/>
      <c r="D180" s="233"/>
      <c r="E180" s="261">
        <v>0.6</v>
      </c>
      <c r="F180" s="261">
        <v>0.6</v>
      </c>
      <c r="G180" s="261">
        <v>0.6</v>
      </c>
      <c r="H180" s="261">
        <v>0.6</v>
      </c>
      <c r="I180" s="261">
        <v>0.6</v>
      </c>
      <c r="J180" s="261">
        <v>0.6</v>
      </c>
      <c r="K180" s="261">
        <v>0.6</v>
      </c>
      <c r="L180" s="261">
        <v>0.6</v>
      </c>
      <c r="M180" s="261">
        <v>0.6</v>
      </c>
    </row>
    <row r="181" spans="1:13" ht="18.75" customHeight="1">
      <c r="A181" s="233"/>
      <c r="B181" s="233"/>
      <c r="C181" s="233"/>
      <c r="D181" s="233"/>
      <c r="E181" s="261"/>
      <c r="F181" s="261"/>
      <c r="G181" s="261"/>
      <c r="H181" s="261"/>
      <c r="I181" s="261"/>
      <c r="J181" s="261"/>
      <c r="K181" s="261"/>
      <c r="L181" s="261"/>
      <c r="M181" s="261"/>
    </row>
    <row r="182" spans="1:13" ht="18.75" customHeight="1">
      <c r="A182" s="233" t="s">
        <v>281</v>
      </c>
      <c r="B182" s="233"/>
      <c r="C182" s="233"/>
      <c r="D182" s="233"/>
      <c r="E182" s="261"/>
      <c r="F182" s="261"/>
      <c r="G182" s="261"/>
      <c r="H182" s="261"/>
      <c r="I182" s="261"/>
      <c r="J182" s="261"/>
      <c r="K182" s="261"/>
      <c r="L182" s="261"/>
      <c r="M182" s="261"/>
    </row>
    <row r="183" spans="1:13" ht="18.75" customHeight="1">
      <c r="A183" s="233" t="s">
        <v>282</v>
      </c>
      <c r="B183" s="233"/>
      <c r="C183" s="233"/>
      <c r="D183" s="233"/>
      <c r="E183" s="261">
        <f t="shared" ref="E183:M183" si="72">+E75</f>
        <v>0</v>
      </c>
      <c r="F183" s="261">
        <f t="shared" si="72"/>
        <v>0</v>
      </c>
      <c r="G183" s="261">
        <f t="shared" si="72"/>
        <v>0</v>
      </c>
      <c r="H183" s="261">
        <f t="shared" si="72"/>
        <v>0</v>
      </c>
      <c r="I183" s="261">
        <f t="shared" si="72"/>
        <v>0</v>
      </c>
      <c r="J183" s="261">
        <f t="shared" si="72"/>
        <v>0</v>
      </c>
      <c r="K183" s="261">
        <f t="shared" si="72"/>
        <v>0</v>
      </c>
      <c r="L183" s="261">
        <f t="shared" si="72"/>
        <v>0</v>
      </c>
      <c r="M183" s="261">
        <f t="shared" si="72"/>
        <v>0</v>
      </c>
    </row>
    <row r="184" spans="1:13" ht="18.75" customHeight="1">
      <c r="A184" s="233" t="s">
        <v>283</v>
      </c>
      <c r="B184" s="233"/>
      <c r="C184" s="233"/>
      <c r="D184" s="233"/>
      <c r="E184" s="2">
        <v>1.5</v>
      </c>
      <c r="F184" s="2">
        <v>1.5</v>
      </c>
      <c r="G184" s="2">
        <v>1.5</v>
      </c>
      <c r="H184" s="2">
        <v>1.5</v>
      </c>
      <c r="I184" s="2">
        <v>1.5</v>
      </c>
      <c r="J184" s="2">
        <v>1.5</v>
      </c>
      <c r="K184" s="2">
        <v>1.5</v>
      </c>
      <c r="L184" s="2">
        <v>1.5</v>
      </c>
      <c r="M184" s="2">
        <v>1.5</v>
      </c>
    </row>
    <row r="185" spans="1:13" ht="18.75" customHeight="1">
      <c r="A185" s="233"/>
      <c r="B185" s="233"/>
      <c r="C185" s="233"/>
      <c r="D185" s="233"/>
      <c r="E185" s="261"/>
      <c r="F185" s="261"/>
      <c r="G185" s="261"/>
      <c r="H185" s="261"/>
      <c r="I185" s="261"/>
      <c r="J185" s="261"/>
      <c r="K185" s="261"/>
      <c r="L185" s="261"/>
      <c r="M185" s="261"/>
    </row>
    <row r="186" spans="1:13" ht="18.75" customHeight="1">
      <c r="A186" s="233"/>
      <c r="B186" s="233"/>
      <c r="C186" s="233"/>
      <c r="D186" s="233"/>
      <c r="E186" s="261"/>
      <c r="F186" s="261"/>
      <c r="G186" s="261"/>
      <c r="H186" s="261"/>
      <c r="I186" s="261"/>
      <c r="J186" s="261"/>
      <c r="K186" s="261"/>
      <c r="L186" s="261"/>
      <c r="M186" s="261"/>
    </row>
    <row r="187" spans="1:13" ht="18.75" customHeight="1">
      <c r="A187" s="388" t="s">
        <v>175</v>
      </c>
      <c r="B187" s="388"/>
      <c r="C187" s="388"/>
      <c r="D187" s="388"/>
      <c r="E187" s="389">
        <f>+((E179*E180)+(E183*E184))/10^5</f>
        <v>0</v>
      </c>
      <c r="F187" s="389">
        <f t="shared" ref="F187:K187" si="73">+((F179*F180)+(F183*F184))/10^5</f>
        <v>0</v>
      </c>
      <c r="G187" s="389">
        <f t="shared" si="73"/>
        <v>2.9811052173913044</v>
      </c>
      <c r="H187" s="389">
        <f t="shared" si="73"/>
        <v>21.861438260869562</v>
      </c>
      <c r="I187" s="389">
        <f t="shared" si="73"/>
        <v>21.861438260869562</v>
      </c>
      <c r="J187" s="389">
        <f t="shared" si="73"/>
        <v>22.35828913043478</v>
      </c>
      <c r="K187" s="389">
        <f t="shared" si="73"/>
        <v>21.861438260869562</v>
      </c>
      <c r="L187" s="389">
        <f t="shared" ref="L187:M187" si="74">+((L179*L180)+(L183*L184))/10^5</f>
        <v>21.861438260869562</v>
      </c>
      <c r="M187" s="389">
        <f t="shared" si="74"/>
        <v>21.861438260869562</v>
      </c>
    </row>
    <row r="188" spans="1:13" ht="18.75" customHeight="1">
      <c r="A188" s="248"/>
      <c r="B188" s="249"/>
      <c r="C188" s="249"/>
      <c r="D188" s="249"/>
      <c r="E188" s="249"/>
      <c r="F188" s="249"/>
      <c r="G188" s="249"/>
      <c r="H188" s="249"/>
      <c r="I188" s="249"/>
      <c r="J188" s="249"/>
      <c r="K188" s="249"/>
      <c r="L188" s="249"/>
      <c r="M188" s="249"/>
    </row>
    <row r="189" spans="1:13" ht="18.75" customHeight="1">
      <c r="A189" s="370" t="s">
        <v>195</v>
      </c>
      <c r="B189" s="370"/>
      <c r="C189" s="370"/>
      <c r="D189" s="370"/>
      <c r="E189" s="387"/>
      <c r="F189" s="387"/>
      <c r="G189" s="387"/>
      <c r="H189" s="387"/>
      <c r="I189" s="387"/>
      <c r="J189" s="387"/>
      <c r="K189" s="387"/>
      <c r="L189" s="387"/>
      <c r="M189" s="387"/>
    </row>
    <row r="190" spans="1:13" ht="18.75" customHeight="1">
      <c r="A190" s="233"/>
      <c r="B190" s="233"/>
      <c r="C190" s="233"/>
      <c r="D190" s="233"/>
      <c r="E190" s="261"/>
      <c r="F190" s="261"/>
      <c r="G190" s="261"/>
      <c r="H190" s="261"/>
      <c r="I190" s="261"/>
      <c r="J190" s="261"/>
      <c r="K190" s="261"/>
      <c r="L190" s="261"/>
      <c r="M190" s="261"/>
    </row>
    <row r="191" spans="1:13" ht="18.75" customHeight="1">
      <c r="A191" s="233" t="s">
        <v>189</v>
      </c>
      <c r="B191" s="233"/>
      <c r="C191" s="233"/>
      <c r="D191" s="233"/>
      <c r="E191" s="281">
        <f>+E179</f>
        <v>0</v>
      </c>
      <c r="F191" s="281">
        <f t="shared" ref="F191:K191" si="75">+F179</f>
        <v>0</v>
      </c>
      <c r="G191" s="281">
        <f t="shared" si="75"/>
        <v>496850.86956521741</v>
      </c>
      <c r="H191" s="281">
        <f t="shared" si="75"/>
        <v>3643573.0434782603</v>
      </c>
      <c r="I191" s="281">
        <f t="shared" si="75"/>
        <v>3643573.0434782603</v>
      </c>
      <c r="J191" s="281">
        <f t="shared" si="75"/>
        <v>3726381.5217391304</v>
      </c>
      <c r="K191" s="281">
        <f t="shared" si="75"/>
        <v>3643573.0434782603</v>
      </c>
      <c r="L191" s="281">
        <f t="shared" ref="L191:M191" si="76">+L179</f>
        <v>3643573.0434782603</v>
      </c>
      <c r="M191" s="281">
        <f t="shared" si="76"/>
        <v>3643573.0434782603</v>
      </c>
    </row>
    <row r="192" spans="1:13" ht="18.75" customHeight="1">
      <c r="A192" s="233" t="s">
        <v>194</v>
      </c>
      <c r="B192" s="233"/>
      <c r="C192" s="233"/>
      <c r="D192" s="233"/>
      <c r="E192" s="261">
        <v>0.55000000000000004</v>
      </c>
      <c r="F192" s="261">
        <v>0.55000000000000004</v>
      </c>
      <c r="G192" s="261">
        <v>0.55000000000000004</v>
      </c>
      <c r="H192" s="261">
        <v>0.55000000000000004</v>
      </c>
      <c r="I192" s="261">
        <v>0.55000000000000004</v>
      </c>
      <c r="J192" s="261">
        <v>0.55000000000000004</v>
      </c>
      <c r="K192" s="261">
        <v>0.55000000000000004</v>
      </c>
      <c r="L192" s="261">
        <v>0.55000000000000004</v>
      </c>
      <c r="M192" s="261">
        <v>0.55000000000000004</v>
      </c>
    </row>
    <row r="193" spans="1:13" ht="18.75" customHeight="1">
      <c r="A193" s="388" t="s">
        <v>175</v>
      </c>
      <c r="B193" s="388"/>
      <c r="C193" s="388"/>
      <c r="D193" s="388"/>
      <c r="E193" s="389">
        <f>+E191*E192/10^5</f>
        <v>0</v>
      </c>
      <c r="F193" s="389">
        <f t="shared" ref="F193:K193" si="77">+F191*F192/10^5</f>
        <v>0</v>
      </c>
      <c r="G193" s="389">
        <f t="shared" si="77"/>
        <v>2.7326797826086957</v>
      </c>
      <c r="H193" s="389">
        <f t="shared" si="77"/>
        <v>20.039651739130431</v>
      </c>
      <c r="I193" s="389">
        <f t="shared" si="77"/>
        <v>20.039651739130431</v>
      </c>
      <c r="J193" s="389">
        <f t="shared" si="77"/>
        <v>20.49509836956522</v>
      </c>
      <c r="K193" s="389">
        <f t="shared" si="77"/>
        <v>20.039651739130431</v>
      </c>
      <c r="L193" s="389">
        <f t="shared" ref="L193:M193" si="78">+L191*L192/10^5</f>
        <v>20.039651739130431</v>
      </c>
      <c r="M193" s="389">
        <f t="shared" si="78"/>
        <v>20.039651739130431</v>
      </c>
    </row>
    <row r="194" spans="1:13" ht="18.75" customHeight="1">
      <c r="A194" s="248"/>
      <c r="B194" s="249"/>
      <c r="C194" s="249"/>
      <c r="D194" s="249"/>
      <c r="E194" s="249"/>
      <c r="F194" s="249"/>
      <c r="G194" s="249"/>
      <c r="H194" s="249"/>
      <c r="I194" s="249"/>
      <c r="J194" s="249"/>
      <c r="K194" s="249"/>
      <c r="L194" s="249"/>
      <c r="M194" s="249"/>
    </row>
    <row r="195" spans="1:13" ht="18.75" customHeight="1">
      <c r="A195" s="370" t="s">
        <v>196</v>
      </c>
      <c r="B195" s="370"/>
      <c r="C195" s="370"/>
      <c r="D195" s="370"/>
      <c r="E195" s="387"/>
      <c r="F195" s="387"/>
      <c r="G195" s="387"/>
      <c r="H195" s="387"/>
      <c r="I195" s="387"/>
      <c r="J195" s="387"/>
      <c r="K195" s="387"/>
      <c r="L195" s="387"/>
      <c r="M195" s="387"/>
    </row>
    <row r="196" spans="1:13" ht="18.75" customHeight="1">
      <c r="A196" s="233"/>
      <c r="B196" s="233"/>
      <c r="C196" s="233"/>
      <c r="D196" s="233"/>
      <c r="E196" s="261"/>
      <c r="F196" s="261"/>
      <c r="G196" s="261"/>
      <c r="H196" s="261"/>
      <c r="I196" s="261"/>
      <c r="J196" s="261"/>
      <c r="K196" s="261"/>
      <c r="L196" s="261"/>
      <c r="M196" s="261"/>
    </row>
    <row r="197" spans="1:13" ht="18.75" customHeight="1">
      <c r="A197" s="233" t="s">
        <v>189</v>
      </c>
      <c r="B197" s="233"/>
      <c r="C197" s="233"/>
      <c r="D197" s="233"/>
      <c r="E197" s="281">
        <f>+E191</f>
        <v>0</v>
      </c>
      <c r="F197" s="281">
        <f t="shared" ref="F197:K197" si="79">+F191</f>
        <v>0</v>
      </c>
      <c r="G197" s="281">
        <f t="shared" si="79"/>
        <v>496850.86956521741</v>
      </c>
      <c r="H197" s="281">
        <f t="shared" si="79"/>
        <v>3643573.0434782603</v>
      </c>
      <c r="I197" s="281">
        <f t="shared" si="79"/>
        <v>3643573.0434782603</v>
      </c>
      <c r="J197" s="281">
        <f t="shared" si="79"/>
        <v>3726381.5217391304</v>
      </c>
      <c r="K197" s="281">
        <f t="shared" si="79"/>
        <v>3643573.0434782603</v>
      </c>
      <c r="L197" s="281">
        <f t="shared" ref="L197:M197" si="80">+L191</f>
        <v>3643573.0434782603</v>
      </c>
      <c r="M197" s="281">
        <f t="shared" si="80"/>
        <v>3643573.0434782603</v>
      </c>
    </row>
    <row r="198" spans="1:13" ht="18.75" customHeight="1">
      <c r="A198" s="233" t="s">
        <v>194</v>
      </c>
      <c r="B198" s="233"/>
      <c r="C198" s="233"/>
      <c r="D198" s="233"/>
      <c r="E198" s="261">
        <v>1</v>
      </c>
      <c r="F198" s="261">
        <v>1</v>
      </c>
      <c r="G198" s="261">
        <v>1</v>
      </c>
      <c r="H198" s="261">
        <v>1</v>
      </c>
      <c r="I198" s="261">
        <v>1</v>
      </c>
      <c r="J198" s="261">
        <v>1</v>
      </c>
      <c r="K198" s="261">
        <v>1</v>
      </c>
      <c r="L198" s="261">
        <v>1</v>
      </c>
      <c r="M198" s="261">
        <v>1</v>
      </c>
    </row>
    <row r="199" spans="1:13" ht="18.75" customHeight="1">
      <c r="A199" s="388" t="s">
        <v>175</v>
      </c>
      <c r="B199" s="388"/>
      <c r="C199" s="388"/>
      <c r="D199" s="388"/>
      <c r="E199" s="389">
        <f>+E197*E198/10^5</f>
        <v>0</v>
      </c>
      <c r="F199" s="389">
        <f t="shared" ref="F199:K199" si="81">+F197*F198/10^5</f>
        <v>0</v>
      </c>
      <c r="G199" s="389">
        <f t="shared" si="81"/>
        <v>4.968508695652174</v>
      </c>
      <c r="H199" s="389">
        <f t="shared" si="81"/>
        <v>36.435730434782606</v>
      </c>
      <c r="I199" s="389">
        <f t="shared" si="81"/>
        <v>36.435730434782606</v>
      </c>
      <c r="J199" s="389">
        <f t="shared" si="81"/>
        <v>37.263815217391304</v>
      </c>
      <c r="K199" s="389">
        <f t="shared" si="81"/>
        <v>36.435730434782606</v>
      </c>
      <c r="L199" s="389">
        <f t="shared" ref="L199:M199" si="82">+L197*L198/10^5</f>
        <v>36.435730434782606</v>
      </c>
      <c r="M199" s="389">
        <f t="shared" si="82"/>
        <v>36.435730434782606</v>
      </c>
    </row>
    <row r="200" spans="1:13" ht="18.75" customHeight="1">
      <c r="A200" s="248"/>
      <c r="B200" s="249"/>
      <c r="C200" s="249"/>
      <c r="D200" s="249"/>
      <c r="E200" s="249"/>
      <c r="F200" s="249"/>
      <c r="G200" s="249"/>
      <c r="H200" s="249"/>
      <c r="I200" s="249"/>
      <c r="J200" s="249"/>
      <c r="K200" s="249"/>
      <c r="L200" s="249"/>
      <c r="M200" s="249"/>
    </row>
    <row r="201" spans="1:13" ht="18.75" customHeight="1">
      <c r="A201" s="248"/>
      <c r="B201" s="249"/>
      <c r="C201" s="249"/>
      <c r="D201" s="249"/>
      <c r="E201" s="249"/>
      <c r="F201" s="249"/>
      <c r="G201" s="249"/>
      <c r="H201" s="249"/>
      <c r="I201" s="249"/>
      <c r="J201" s="249"/>
      <c r="K201" s="249"/>
      <c r="L201" s="249"/>
      <c r="M201" s="249"/>
    </row>
    <row r="202" spans="1:13" ht="18.75" customHeight="1">
      <c r="A202" s="598" t="s">
        <v>383</v>
      </c>
      <c r="B202" s="598"/>
      <c r="C202" s="598"/>
      <c r="D202" s="598"/>
      <c r="E202" s="598"/>
      <c r="F202" s="598"/>
      <c r="G202" s="598"/>
      <c r="H202" s="598"/>
      <c r="I202" s="598"/>
      <c r="J202" s="598"/>
      <c r="K202" s="598"/>
      <c r="L202" s="598"/>
      <c r="M202" s="598"/>
    </row>
    <row r="203" spans="1:13" ht="36.75" customHeight="1">
      <c r="A203" s="390" t="s">
        <v>171</v>
      </c>
      <c r="B203" s="376"/>
      <c r="C203" s="376"/>
      <c r="D203" s="376" t="s">
        <v>333</v>
      </c>
      <c r="E203" s="376" t="s">
        <v>20</v>
      </c>
      <c r="F203" s="376" t="s">
        <v>21</v>
      </c>
      <c r="G203" s="376" t="s">
        <v>27</v>
      </c>
      <c r="H203" s="376" t="s">
        <v>28</v>
      </c>
      <c r="I203" s="376" t="s">
        <v>57</v>
      </c>
      <c r="J203" s="376" t="s">
        <v>138</v>
      </c>
      <c r="K203" s="376" t="s">
        <v>225</v>
      </c>
      <c r="L203" s="376" t="s">
        <v>729</v>
      </c>
      <c r="M203" s="376" t="s">
        <v>730</v>
      </c>
    </row>
    <row r="204" spans="1:13">
      <c r="A204" s="391" t="s">
        <v>156</v>
      </c>
      <c r="B204" s="392"/>
      <c r="C204" s="392"/>
      <c r="D204" s="392"/>
      <c r="E204" s="392"/>
      <c r="F204" s="392"/>
      <c r="G204" s="392"/>
      <c r="H204" s="392"/>
      <c r="I204" s="392"/>
      <c r="J204" s="392"/>
      <c r="K204" s="392"/>
      <c r="L204" s="392"/>
      <c r="M204" s="392"/>
    </row>
    <row r="205" spans="1:13">
      <c r="A205" s="247" t="s">
        <v>334</v>
      </c>
      <c r="B205" s="237"/>
      <c r="C205" s="237"/>
      <c r="D205" s="237">
        <v>0</v>
      </c>
      <c r="E205" s="237">
        <v>0</v>
      </c>
      <c r="F205" s="237">
        <f t="shared" ref="F205:M205" si="83">+F55+F78</f>
        <v>0</v>
      </c>
      <c r="G205" s="237">
        <f t="shared" si="83"/>
        <v>161.47653260869566</v>
      </c>
      <c r="H205" s="237">
        <f t="shared" si="83"/>
        <v>1184.1612391304345</v>
      </c>
      <c r="I205" s="237">
        <f t="shared" si="83"/>
        <v>1184.1612391304345</v>
      </c>
      <c r="J205" s="237">
        <f t="shared" si="83"/>
        <v>1211.0739945652174</v>
      </c>
      <c r="K205" s="237">
        <f t="shared" si="83"/>
        <v>1184.1612391304345</v>
      </c>
      <c r="L205" s="237">
        <f t="shared" si="83"/>
        <v>1211.0739945652174</v>
      </c>
      <c r="M205" s="237">
        <f t="shared" si="83"/>
        <v>1184.1612391304345</v>
      </c>
    </row>
    <row r="206" spans="1:13">
      <c r="A206" s="247" t="s">
        <v>335</v>
      </c>
      <c r="B206" s="237"/>
      <c r="C206" s="237"/>
      <c r="D206" s="237">
        <v>0</v>
      </c>
      <c r="E206" s="237">
        <v>0</v>
      </c>
      <c r="F206" s="237">
        <f t="shared" ref="F206:M206" si="84">+F66</f>
        <v>0</v>
      </c>
      <c r="G206" s="237">
        <f t="shared" si="84"/>
        <v>1.0330434782608695</v>
      </c>
      <c r="H206" s="237">
        <f t="shared" si="84"/>
        <v>7.5756521739130429</v>
      </c>
      <c r="I206" s="237">
        <f t="shared" si="84"/>
        <v>7.5756521739130429</v>
      </c>
      <c r="J206" s="237">
        <f t="shared" si="84"/>
        <v>7.747826086956521</v>
      </c>
      <c r="K206" s="237">
        <f t="shared" si="84"/>
        <v>7.5756521739130429</v>
      </c>
      <c r="L206" s="237">
        <f t="shared" si="84"/>
        <v>7.747826086956521</v>
      </c>
      <c r="M206" s="237">
        <f t="shared" si="84"/>
        <v>7.5756521739130429</v>
      </c>
    </row>
    <row r="207" spans="1:13">
      <c r="A207" s="247" t="s">
        <v>336</v>
      </c>
      <c r="B207" s="237"/>
      <c r="C207" s="237"/>
      <c r="D207" s="115">
        <v>0</v>
      </c>
      <c r="E207" s="115">
        <v>0</v>
      </c>
      <c r="F207" s="115">
        <f t="shared" ref="F207:M207" si="85">+F80</f>
        <v>0</v>
      </c>
      <c r="G207" s="115">
        <f t="shared" si="85"/>
        <v>8.0738266304347839</v>
      </c>
      <c r="H207" s="115">
        <f t="shared" si="85"/>
        <v>59.208061956521732</v>
      </c>
      <c r="I207" s="115">
        <f t="shared" si="85"/>
        <v>59.208061956521732</v>
      </c>
      <c r="J207" s="115">
        <f t="shared" si="85"/>
        <v>60.553699728260874</v>
      </c>
      <c r="K207" s="115">
        <f t="shared" si="85"/>
        <v>59.208061956521732</v>
      </c>
      <c r="L207" s="115">
        <f t="shared" si="85"/>
        <v>60.553699728260874</v>
      </c>
      <c r="M207" s="115">
        <f t="shared" si="85"/>
        <v>59.208061956521732</v>
      </c>
    </row>
    <row r="208" spans="1:13">
      <c r="A208" s="247" t="s">
        <v>337</v>
      </c>
      <c r="B208" s="237"/>
      <c r="C208" s="237"/>
      <c r="D208" s="115">
        <v>0</v>
      </c>
      <c r="E208" s="115">
        <v>0</v>
      </c>
      <c r="F208" s="115">
        <v>0</v>
      </c>
      <c r="G208" s="115">
        <v>5</v>
      </c>
      <c r="H208" s="115">
        <v>5</v>
      </c>
      <c r="I208" s="115">
        <v>5</v>
      </c>
      <c r="J208" s="115">
        <v>5</v>
      </c>
      <c r="K208" s="115">
        <v>5</v>
      </c>
      <c r="L208" s="115">
        <v>5</v>
      </c>
      <c r="M208" s="115">
        <v>5</v>
      </c>
    </row>
    <row r="209" spans="1:13" ht="18.75" customHeight="1">
      <c r="A209" s="247"/>
      <c r="B209" s="237"/>
      <c r="C209" s="237"/>
      <c r="D209" s="237"/>
      <c r="E209" s="237"/>
      <c r="F209" s="237"/>
      <c r="G209" s="237"/>
      <c r="H209" s="237"/>
      <c r="I209" s="237"/>
      <c r="J209" s="237"/>
      <c r="K209" s="237"/>
      <c r="L209" s="237"/>
      <c r="M209" s="237"/>
    </row>
    <row r="210" spans="1:13">
      <c r="A210" s="393" t="s">
        <v>0</v>
      </c>
      <c r="B210" s="394"/>
      <c r="C210" s="394"/>
      <c r="D210" s="395">
        <f>+SUM(D205:D208)</f>
        <v>0</v>
      </c>
      <c r="E210" s="395">
        <f>+SUM(E205:E208)</f>
        <v>0</v>
      </c>
      <c r="F210" s="395">
        <f t="shared" ref="F210:K210" si="86">+SUM(F205:F208)</f>
        <v>0</v>
      </c>
      <c r="G210" s="395">
        <f t="shared" si="86"/>
        <v>175.58340271739132</v>
      </c>
      <c r="H210" s="395">
        <f t="shared" si="86"/>
        <v>1255.9449532608694</v>
      </c>
      <c r="I210" s="395">
        <f t="shared" si="86"/>
        <v>1255.9449532608694</v>
      </c>
      <c r="J210" s="395">
        <f t="shared" si="86"/>
        <v>1284.3755203804349</v>
      </c>
      <c r="K210" s="395">
        <f t="shared" si="86"/>
        <v>1255.9449532608694</v>
      </c>
      <c r="L210" s="395">
        <f t="shared" ref="L210:M210" si="87">+SUM(L205:L208)</f>
        <v>1284.3755203804349</v>
      </c>
      <c r="M210" s="395">
        <f t="shared" si="87"/>
        <v>1255.9449532608694</v>
      </c>
    </row>
    <row r="211" spans="1:13">
      <c r="A211" s="12"/>
      <c r="B211" s="250"/>
      <c r="C211" s="250"/>
      <c r="D211" s="250"/>
      <c r="E211" s="250"/>
      <c r="F211" s="250"/>
      <c r="G211" s="250"/>
      <c r="H211" s="250"/>
      <c r="I211" s="250"/>
      <c r="J211" s="250"/>
      <c r="K211" s="250"/>
      <c r="L211" s="250"/>
      <c r="M211" s="250"/>
    </row>
    <row r="212" spans="1:13">
      <c r="A212" s="396" t="s">
        <v>129</v>
      </c>
      <c r="B212" s="376"/>
      <c r="C212" s="376"/>
      <c r="D212" s="376"/>
      <c r="E212" s="376"/>
      <c r="F212" s="376"/>
      <c r="G212" s="376"/>
      <c r="H212" s="376"/>
      <c r="I212" s="376"/>
      <c r="J212" s="376"/>
      <c r="K212" s="376"/>
      <c r="L212" s="376"/>
      <c r="M212" s="376"/>
    </row>
    <row r="213" spans="1:13">
      <c r="A213" s="251"/>
      <c r="B213" s="36"/>
      <c r="C213" s="36"/>
      <c r="D213" s="36"/>
      <c r="E213" s="36"/>
      <c r="F213" s="36"/>
      <c r="G213" s="36"/>
      <c r="H213" s="36"/>
      <c r="I213" s="36"/>
      <c r="J213" s="36"/>
      <c r="K213" s="36"/>
      <c r="L213" s="36"/>
      <c r="M213" s="36"/>
    </row>
    <row r="214" spans="1:13">
      <c r="A214" s="247" t="s">
        <v>178</v>
      </c>
      <c r="B214" s="36"/>
      <c r="C214" s="36"/>
      <c r="D214" s="115">
        <v>0</v>
      </c>
      <c r="E214" s="115">
        <v>0</v>
      </c>
      <c r="F214" s="115">
        <v>0</v>
      </c>
      <c r="G214" s="264">
        <f t="shared" ref="G214:K214" si="88">+G167</f>
        <v>101.2</v>
      </c>
      <c r="H214" s="264">
        <f t="shared" si="88"/>
        <v>101.2</v>
      </c>
      <c r="I214" s="264">
        <f t="shared" si="88"/>
        <v>101.2</v>
      </c>
      <c r="J214" s="264">
        <f t="shared" si="88"/>
        <v>101.2</v>
      </c>
      <c r="K214" s="264">
        <f t="shared" si="88"/>
        <v>101.2</v>
      </c>
      <c r="L214" s="264">
        <f t="shared" ref="L214:M214" si="89">+L167</f>
        <v>101.2</v>
      </c>
      <c r="M214" s="264">
        <f t="shared" si="89"/>
        <v>101.2</v>
      </c>
    </row>
    <row r="215" spans="1:13">
      <c r="A215" s="247" t="s">
        <v>172</v>
      </c>
      <c r="B215" s="36"/>
      <c r="C215" s="36"/>
      <c r="D215" s="115">
        <v>0</v>
      </c>
      <c r="E215" s="115">
        <v>0</v>
      </c>
      <c r="F215" s="115">
        <v>0</v>
      </c>
      <c r="G215" s="264">
        <f t="shared" ref="G215:K215" si="90">+G142</f>
        <v>140.25</v>
      </c>
      <c r="H215" s="264">
        <f t="shared" si="90"/>
        <v>539.96249999999998</v>
      </c>
      <c r="I215" s="264">
        <f t="shared" si="90"/>
        <v>539.96249999999998</v>
      </c>
      <c r="J215" s="264">
        <f t="shared" si="90"/>
        <v>546.97500000000002</v>
      </c>
      <c r="K215" s="264">
        <f t="shared" si="90"/>
        <v>536.45624999999995</v>
      </c>
      <c r="L215" s="264">
        <f t="shared" ref="L215:M215" si="91">+L142</f>
        <v>546.97500000000002</v>
      </c>
      <c r="M215" s="264">
        <f t="shared" si="91"/>
        <v>536.45624999999995</v>
      </c>
    </row>
    <row r="216" spans="1:13">
      <c r="A216" s="247" t="s">
        <v>137</v>
      </c>
      <c r="D216" s="115">
        <v>0</v>
      </c>
      <c r="E216" s="115">
        <v>0</v>
      </c>
      <c r="F216" s="115">
        <v>0</v>
      </c>
      <c r="G216" s="108">
        <f t="shared" ref="G216:K216" si="92">+G155</f>
        <v>26.546299999999999</v>
      </c>
      <c r="H216" s="108">
        <f t="shared" si="92"/>
        <v>32.899900000000002</v>
      </c>
      <c r="I216" s="108">
        <f t="shared" si="92"/>
        <v>32.899900000000002</v>
      </c>
      <c r="J216" s="108">
        <f t="shared" si="92"/>
        <v>31.90605</v>
      </c>
      <c r="K216" s="108">
        <f t="shared" si="92"/>
        <v>31.738849999999999</v>
      </c>
      <c r="L216" s="108">
        <f t="shared" ref="L216:M216" si="93">+L155</f>
        <v>31.90605</v>
      </c>
      <c r="M216" s="108">
        <f t="shared" si="93"/>
        <v>31.738849999999999</v>
      </c>
    </row>
    <row r="217" spans="1:13">
      <c r="A217" s="247" t="s">
        <v>197</v>
      </c>
      <c r="D217" s="115">
        <v>0</v>
      </c>
      <c r="E217" s="115">
        <v>0</v>
      </c>
      <c r="F217" s="115">
        <v>0</v>
      </c>
      <c r="G217" s="108">
        <f t="shared" ref="G217:K217" si="94">+G175</f>
        <v>4.4716578260869566</v>
      </c>
      <c r="H217" s="108">
        <f t="shared" si="94"/>
        <v>32.792157391304343</v>
      </c>
      <c r="I217" s="108">
        <f t="shared" si="94"/>
        <v>32.792157391304343</v>
      </c>
      <c r="J217" s="108">
        <f t="shared" si="94"/>
        <v>33.537433695652176</v>
      </c>
      <c r="K217" s="108">
        <f t="shared" si="94"/>
        <v>32.792157391304343</v>
      </c>
      <c r="L217" s="108">
        <f t="shared" ref="L217:M217" si="95">+L175</f>
        <v>32.792157391304343</v>
      </c>
      <c r="M217" s="108">
        <f t="shared" si="95"/>
        <v>32.792157391304343</v>
      </c>
    </row>
    <row r="218" spans="1:13">
      <c r="A218" s="247" t="s">
        <v>198</v>
      </c>
      <c r="D218" s="115">
        <v>0</v>
      </c>
      <c r="E218" s="115">
        <v>0</v>
      </c>
      <c r="F218" s="115">
        <v>0</v>
      </c>
      <c r="G218" s="108">
        <f t="shared" ref="G218:K218" si="96">+G187</f>
        <v>2.9811052173913044</v>
      </c>
      <c r="H218" s="108">
        <f t="shared" si="96"/>
        <v>21.861438260869562</v>
      </c>
      <c r="I218" s="108">
        <f t="shared" si="96"/>
        <v>21.861438260869562</v>
      </c>
      <c r="J218" s="108">
        <f t="shared" si="96"/>
        <v>22.35828913043478</v>
      </c>
      <c r="K218" s="108">
        <f t="shared" si="96"/>
        <v>21.861438260869562</v>
      </c>
      <c r="L218" s="108">
        <f t="shared" ref="L218:M218" si="97">+L187</f>
        <v>21.861438260869562</v>
      </c>
      <c r="M218" s="108">
        <f t="shared" si="97"/>
        <v>21.861438260869562</v>
      </c>
    </row>
    <row r="219" spans="1:13">
      <c r="A219" s="247" t="s">
        <v>339</v>
      </c>
      <c r="D219" s="115">
        <v>0</v>
      </c>
      <c r="E219" s="115">
        <v>0</v>
      </c>
      <c r="F219" s="115">
        <v>0</v>
      </c>
      <c r="G219" s="108">
        <v>0</v>
      </c>
      <c r="H219" s="108">
        <v>0</v>
      </c>
      <c r="I219" s="108">
        <v>0</v>
      </c>
      <c r="J219" s="108">
        <v>0</v>
      </c>
      <c r="K219" s="108">
        <v>0</v>
      </c>
      <c r="L219" s="108">
        <v>0</v>
      </c>
      <c r="M219" s="108">
        <v>0</v>
      </c>
    </row>
    <row r="220" spans="1:13">
      <c r="A220" s="247" t="s">
        <v>342</v>
      </c>
      <c r="D220" s="115">
        <v>0</v>
      </c>
      <c r="E220" s="115">
        <v>0</v>
      </c>
      <c r="F220" s="115">
        <v>0</v>
      </c>
      <c r="G220" s="108">
        <v>0</v>
      </c>
      <c r="H220" s="108">
        <v>0</v>
      </c>
      <c r="I220" s="108">
        <v>0</v>
      </c>
      <c r="J220" s="108">
        <v>0</v>
      </c>
      <c r="K220" s="108">
        <v>0</v>
      </c>
      <c r="L220" s="108">
        <v>0</v>
      </c>
      <c r="M220" s="108">
        <v>0</v>
      </c>
    </row>
    <row r="221" spans="1:13">
      <c r="A221" s="247" t="s">
        <v>343</v>
      </c>
      <c r="D221" s="115">
        <v>0</v>
      </c>
      <c r="E221" s="115">
        <v>0</v>
      </c>
      <c r="F221" s="115">
        <v>0</v>
      </c>
      <c r="G221" s="108">
        <v>0</v>
      </c>
      <c r="H221" s="108">
        <v>0</v>
      </c>
      <c r="I221" s="108">
        <v>0</v>
      </c>
      <c r="J221" s="108">
        <v>0</v>
      </c>
      <c r="K221" s="108">
        <v>0</v>
      </c>
      <c r="L221" s="108">
        <v>0</v>
      </c>
      <c r="M221" s="108">
        <v>0</v>
      </c>
    </row>
    <row r="222" spans="1:13">
      <c r="A222" s="247" t="s">
        <v>344</v>
      </c>
      <c r="D222" s="115">
        <v>0</v>
      </c>
      <c r="E222" s="115">
        <v>0</v>
      </c>
      <c r="F222" s="115">
        <v>0</v>
      </c>
      <c r="G222" s="108">
        <v>3</v>
      </c>
      <c r="H222" s="108">
        <v>3</v>
      </c>
      <c r="I222" s="108">
        <v>3</v>
      </c>
      <c r="J222" s="108">
        <v>3</v>
      </c>
      <c r="K222" s="108">
        <v>3</v>
      </c>
      <c r="L222" s="108">
        <v>3</v>
      </c>
      <c r="M222" s="108">
        <v>3</v>
      </c>
    </row>
    <row r="223" spans="1:13">
      <c r="A223" s="247" t="s">
        <v>338</v>
      </c>
      <c r="D223" s="115">
        <v>0</v>
      </c>
      <c r="E223" s="115">
        <v>0</v>
      </c>
      <c r="F223" s="115">
        <v>0</v>
      </c>
      <c r="G223" s="108">
        <f t="shared" ref="G223:K223" si="98">+G193</f>
        <v>2.7326797826086957</v>
      </c>
      <c r="H223" s="108">
        <f t="shared" si="98"/>
        <v>20.039651739130431</v>
      </c>
      <c r="I223" s="108">
        <f t="shared" si="98"/>
        <v>20.039651739130431</v>
      </c>
      <c r="J223" s="108">
        <f t="shared" si="98"/>
        <v>20.49509836956522</v>
      </c>
      <c r="K223" s="108">
        <f t="shared" si="98"/>
        <v>20.039651739130431</v>
      </c>
      <c r="L223" s="108">
        <f t="shared" ref="L223:M223" si="99">+L193</f>
        <v>20.039651739130431</v>
      </c>
      <c r="M223" s="108">
        <f t="shared" si="99"/>
        <v>20.039651739130431</v>
      </c>
    </row>
    <row r="224" spans="1:13">
      <c r="A224" s="247" t="s">
        <v>374</v>
      </c>
      <c r="D224" s="115">
        <v>0</v>
      </c>
      <c r="E224" s="115">
        <v>0</v>
      </c>
      <c r="F224" s="115">
        <v>0</v>
      </c>
      <c r="G224" s="108">
        <f t="shared" ref="G224:K224" si="100">+G199</f>
        <v>4.968508695652174</v>
      </c>
      <c r="H224" s="108">
        <f t="shared" si="100"/>
        <v>36.435730434782606</v>
      </c>
      <c r="I224" s="108">
        <f t="shared" si="100"/>
        <v>36.435730434782606</v>
      </c>
      <c r="J224" s="108">
        <f t="shared" si="100"/>
        <v>37.263815217391304</v>
      </c>
      <c r="K224" s="108">
        <f t="shared" si="100"/>
        <v>36.435730434782606</v>
      </c>
      <c r="L224" s="108">
        <f t="shared" ref="L224:M224" si="101">+L199</f>
        <v>36.435730434782606</v>
      </c>
      <c r="M224" s="108">
        <f t="shared" si="101"/>
        <v>36.435730434782606</v>
      </c>
    </row>
    <row r="225" spans="1:13">
      <c r="A225" s="247" t="s">
        <v>340</v>
      </c>
      <c r="D225" s="115">
        <v>0</v>
      </c>
      <c r="E225" s="115">
        <v>0</v>
      </c>
      <c r="F225" s="115">
        <v>0</v>
      </c>
      <c r="G225" s="108">
        <f>+'Utilities-1 P2'!I18</f>
        <v>18.468864</v>
      </c>
      <c r="H225" s="108">
        <f>+'Utilities-1 P2'!J18</f>
        <v>56.176127999999999</v>
      </c>
      <c r="I225" s="108">
        <f>+'Utilities-1 P2'!K18</f>
        <v>56.176127999999999</v>
      </c>
      <c r="J225" s="108">
        <f>+'Utilities-1 P2'!L18</f>
        <v>56.176127999999999</v>
      </c>
      <c r="K225" s="108">
        <f>+'Utilities-1 P2'!M18</f>
        <v>56.176127999999999</v>
      </c>
      <c r="L225" s="108">
        <f>+'Utilities-1 P2'!N18</f>
        <v>56.176127999999999</v>
      </c>
      <c r="M225" s="108">
        <f>+'Utilities-1 P2'!O18</f>
        <v>56.176127999999999</v>
      </c>
    </row>
    <row r="226" spans="1:13">
      <c r="A226" s="247" t="s">
        <v>211</v>
      </c>
      <c r="D226" s="115">
        <v>0</v>
      </c>
      <c r="E226" s="115">
        <v>0</v>
      </c>
      <c r="F226" s="115">
        <v>0</v>
      </c>
      <c r="G226" s="108">
        <f>+'Human Resource P2'!H24</f>
        <v>22.176000000000002</v>
      </c>
      <c r="H226" s="108">
        <f>+'Human Resource P2'!I24</f>
        <v>88.703999999999979</v>
      </c>
      <c r="I226" s="108">
        <f>+'Human Resource P2'!J24</f>
        <v>88.703999999999979</v>
      </c>
      <c r="J226" s="108">
        <f>+'Human Resource P2'!K24</f>
        <v>88.703999999999979</v>
      </c>
      <c r="K226" s="108">
        <f>+'Human Resource P2'!L24</f>
        <v>88.703999999999979</v>
      </c>
      <c r="L226" s="108">
        <f>+'Human Resource P2'!M24</f>
        <v>88.703999999999979</v>
      </c>
      <c r="M226" s="108">
        <f>+'Human Resource P2'!N24</f>
        <v>88.703999999999979</v>
      </c>
    </row>
    <row r="227" spans="1:13">
      <c r="A227" s="247" t="s">
        <v>199</v>
      </c>
      <c r="D227" s="115">
        <v>0</v>
      </c>
      <c r="E227" s="115">
        <v>0</v>
      </c>
      <c r="F227" s="115">
        <v>0</v>
      </c>
      <c r="G227" s="108">
        <v>-200</v>
      </c>
      <c r="H227" s="108">
        <v>0</v>
      </c>
      <c r="I227" s="108">
        <v>0</v>
      </c>
      <c r="J227" s="108">
        <v>0</v>
      </c>
      <c r="K227" s="108">
        <v>0</v>
      </c>
      <c r="L227" s="108">
        <v>0</v>
      </c>
      <c r="M227" s="108">
        <v>0</v>
      </c>
    </row>
    <row r="228" spans="1:13">
      <c r="A228" s="12"/>
      <c r="E228" s="1" t="s">
        <v>274</v>
      </c>
    </row>
    <row r="229" spans="1:13">
      <c r="A229" s="393" t="s">
        <v>0</v>
      </c>
      <c r="B229" s="394"/>
      <c r="C229" s="395"/>
      <c r="D229" s="395">
        <f t="shared" ref="D229:K229" si="102">+SUM(D214:D227)</f>
        <v>0</v>
      </c>
      <c r="E229" s="395">
        <f t="shared" si="102"/>
        <v>0</v>
      </c>
      <c r="F229" s="395">
        <f t="shared" si="102"/>
        <v>0</v>
      </c>
      <c r="G229" s="395">
        <f t="shared" si="102"/>
        <v>126.79511552173909</v>
      </c>
      <c r="H229" s="395">
        <f t="shared" si="102"/>
        <v>933.07150582608699</v>
      </c>
      <c r="I229" s="395">
        <f t="shared" si="102"/>
        <v>933.07150582608699</v>
      </c>
      <c r="J229" s="395">
        <f t="shared" si="102"/>
        <v>941.61581441304349</v>
      </c>
      <c r="K229" s="395">
        <f t="shared" si="102"/>
        <v>928.40420582608692</v>
      </c>
      <c r="L229" s="395">
        <f t="shared" ref="L229:M229" si="103">+SUM(L214:L227)</f>
        <v>939.09015582608708</v>
      </c>
      <c r="M229" s="395">
        <f t="shared" si="103"/>
        <v>928.40420582608692</v>
      </c>
    </row>
    <row r="231" spans="1:13">
      <c r="A231" s="397" t="s">
        <v>176</v>
      </c>
      <c r="B231" s="368"/>
      <c r="C231" s="368"/>
      <c r="D231" s="398" t="e">
        <f t="shared" ref="D231:K231" si="104">+D232/D210</f>
        <v>#DIV/0!</v>
      </c>
      <c r="E231" s="399" t="e">
        <f t="shared" si="104"/>
        <v>#DIV/0!</v>
      </c>
      <c r="F231" s="399" t="e">
        <f t="shared" si="104"/>
        <v>#DIV/0!</v>
      </c>
      <c r="G231" s="399">
        <f t="shared" si="104"/>
        <v>0.2778638894143029</v>
      </c>
      <c r="H231" s="399">
        <f t="shared" si="104"/>
        <v>0.25707611356412619</v>
      </c>
      <c r="I231" s="399">
        <f t="shared" si="104"/>
        <v>0.25707611356412619</v>
      </c>
      <c r="J231" s="399">
        <f t="shared" si="104"/>
        <v>0.26686876270100912</v>
      </c>
      <c r="K231" s="399">
        <f t="shared" si="104"/>
        <v>0.26079227961732948</v>
      </c>
      <c r="L231" s="399">
        <f t="shared" ref="L231:M231" si="105">+L232/L210</f>
        <v>0.26883521141237066</v>
      </c>
      <c r="M231" s="399">
        <f t="shared" si="105"/>
        <v>0.26079227961732948</v>
      </c>
    </row>
    <row r="232" spans="1:13">
      <c r="A232" s="397" t="s">
        <v>177</v>
      </c>
      <c r="B232" s="368"/>
      <c r="C232" s="400"/>
      <c r="D232" s="400">
        <f t="shared" ref="D232:K232" si="106">+D210-D229</f>
        <v>0</v>
      </c>
      <c r="E232" s="400">
        <f t="shared" si="106"/>
        <v>0</v>
      </c>
      <c r="F232" s="400">
        <f t="shared" si="106"/>
        <v>0</v>
      </c>
      <c r="G232" s="400">
        <f t="shared" si="106"/>
        <v>48.788287195652231</v>
      </c>
      <c r="H232" s="400">
        <f t="shared" si="106"/>
        <v>322.87344743478241</v>
      </c>
      <c r="I232" s="400">
        <f t="shared" si="106"/>
        <v>322.87344743478241</v>
      </c>
      <c r="J232" s="400">
        <f t="shared" si="106"/>
        <v>342.75970596739137</v>
      </c>
      <c r="K232" s="400">
        <f t="shared" si="106"/>
        <v>327.54074743478247</v>
      </c>
      <c r="L232" s="400">
        <f t="shared" ref="L232:M232" si="107">+L210-L229</f>
        <v>345.28536455434778</v>
      </c>
      <c r="M232" s="400">
        <f t="shared" si="107"/>
        <v>327.54074743478247</v>
      </c>
    </row>
    <row r="233" spans="1:13">
      <c r="A233" s="12"/>
    </row>
    <row r="234" spans="1:13">
      <c r="A234" s="12" t="s">
        <v>341</v>
      </c>
      <c r="D234" s="115">
        <v>0</v>
      </c>
      <c r="E234" s="115">
        <v>0</v>
      </c>
      <c r="F234" s="115">
        <v>0</v>
      </c>
      <c r="G234" s="108">
        <v>0</v>
      </c>
      <c r="H234" s="108">
        <v>10</v>
      </c>
      <c r="I234" s="108">
        <v>10</v>
      </c>
      <c r="J234" s="108">
        <v>10</v>
      </c>
      <c r="K234" s="108">
        <v>10</v>
      </c>
      <c r="L234" s="108">
        <v>10</v>
      </c>
      <c r="M234" s="108">
        <v>10</v>
      </c>
    </row>
    <row r="235" spans="1:13">
      <c r="A235" s="12"/>
      <c r="E235" s="108"/>
      <c r="F235" s="108"/>
      <c r="G235" s="108"/>
      <c r="H235" s="108"/>
      <c r="I235" s="108"/>
      <c r="J235" s="108"/>
      <c r="K235" s="108"/>
      <c r="L235" s="108"/>
      <c r="M235" s="108"/>
    </row>
    <row r="236" spans="1:13">
      <c r="A236" s="397" t="s">
        <v>212</v>
      </c>
      <c r="B236" s="368"/>
      <c r="C236" s="400"/>
      <c r="D236" s="400">
        <f>+D232-D234</f>
        <v>0</v>
      </c>
      <c r="E236" s="400">
        <f>+E232-E234</f>
        <v>0</v>
      </c>
      <c r="F236" s="400">
        <f t="shared" ref="F236:K236" si="108">+F232-F234</f>
        <v>0</v>
      </c>
      <c r="G236" s="400">
        <f t="shared" si="108"/>
        <v>48.788287195652231</v>
      </c>
      <c r="H236" s="400">
        <f t="shared" si="108"/>
        <v>312.87344743478241</v>
      </c>
      <c r="I236" s="400">
        <f t="shared" si="108"/>
        <v>312.87344743478241</v>
      </c>
      <c r="J236" s="400">
        <f t="shared" si="108"/>
        <v>332.75970596739137</v>
      </c>
      <c r="K236" s="400">
        <f t="shared" si="108"/>
        <v>317.54074743478247</v>
      </c>
      <c r="L236" s="400">
        <f t="shared" ref="L236:M236" si="109">+L232-L234</f>
        <v>335.28536455434778</v>
      </c>
      <c r="M236" s="400">
        <f t="shared" si="109"/>
        <v>317.54074743478247</v>
      </c>
    </row>
    <row r="237" spans="1:13">
      <c r="A237" s="397"/>
      <c r="B237" s="368"/>
      <c r="C237" s="368"/>
      <c r="D237" s="368"/>
      <c r="E237" s="400"/>
      <c r="F237" s="400"/>
      <c r="G237" s="400"/>
      <c r="H237" s="400"/>
      <c r="I237" s="400"/>
      <c r="J237" s="400"/>
      <c r="K237" s="400"/>
      <c r="L237" s="400"/>
      <c r="M237" s="400"/>
    </row>
    <row r="238" spans="1:13">
      <c r="A238" s="12" t="s">
        <v>59</v>
      </c>
      <c r="D238" s="115">
        <v>0</v>
      </c>
      <c r="E238" s="115">
        <v>0</v>
      </c>
      <c r="F238" s="115">
        <v>0</v>
      </c>
      <c r="G238" s="108">
        <f>+'Depreciation Chart - Eco Gr P2'!H56</f>
        <v>14.863502161133333</v>
      </c>
      <c r="H238" s="108">
        <f>+'Depreciation Chart - Eco Gr P2'!H69</f>
        <v>59.454008644533332</v>
      </c>
      <c r="I238" s="108">
        <f>+'Depreciation Chart - Eco Gr P2'!H82</f>
        <v>59.454008644533332</v>
      </c>
      <c r="J238" s="108">
        <f>+'Depreciation Chart - Eco Gr P2'!H95</f>
        <v>59.454008644533332</v>
      </c>
      <c r="K238" s="108">
        <f>+'Depreciation Chart - Eco Gr P2'!H108</f>
        <v>59.454008644533332</v>
      </c>
      <c r="L238" s="108">
        <f>+'Depreciation Chart - Eco Gr P2'!H121</f>
        <v>59.454008644533332</v>
      </c>
      <c r="M238" s="108">
        <f>+'Depreciation Chart - Eco Gr P2'!H134</f>
        <v>59.454008644533332</v>
      </c>
    </row>
    <row r="239" spans="1:13">
      <c r="A239" s="12"/>
      <c r="E239" s="108"/>
      <c r="F239" s="108"/>
      <c r="G239" s="108"/>
      <c r="H239" s="108"/>
      <c r="I239" s="108"/>
      <c r="J239" s="108"/>
      <c r="K239" s="108"/>
      <c r="L239" s="108"/>
      <c r="M239" s="108"/>
    </row>
    <row r="240" spans="1:13">
      <c r="A240" s="397" t="s">
        <v>213</v>
      </c>
      <c r="B240" s="368"/>
      <c r="C240" s="400"/>
      <c r="D240" s="400">
        <f>+D236-D238</f>
        <v>0</v>
      </c>
      <c r="E240" s="400">
        <f>+E236-E238</f>
        <v>0</v>
      </c>
      <c r="F240" s="400">
        <f t="shared" ref="F240:K240" si="110">+F236-F238</f>
        <v>0</v>
      </c>
      <c r="G240" s="400">
        <f t="shared" si="110"/>
        <v>33.924785034518898</v>
      </c>
      <c r="H240" s="400">
        <f t="shared" si="110"/>
        <v>253.41943879024907</v>
      </c>
      <c r="I240" s="400">
        <f t="shared" si="110"/>
        <v>253.41943879024907</v>
      </c>
      <c r="J240" s="400">
        <f t="shared" si="110"/>
        <v>273.30569732285801</v>
      </c>
      <c r="K240" s="400">
        <f t="shared" si="110"/>
        <v>258.08673879024911</v>
      </c>
      <c r="L240" s="400">
        <f t="shared" ref="L240:M240" si="111">+L236-L238</f>
        <v>275.83135590981442</v>
      </c>
      <c r="M240" s="400">
        <f t="shared" si="111"/>
        <v>258.08673879024911</v>
      </c>
    </row>
    <row r="241" spans="1:13">
      <c r="A241" s="368"/>
      <c r="B241" s="368"/>
      <c r="C241" s="368"/>
      <c r="D241" s="368"/>
      <c r="E241" s="400"/>
      <c r="F241" s="400"/>
      <c r="G241" s="400"/>
      <c r="H241" s="400"/>
      <c r="I241" s="400"/>
      <c r="J241" s="400"/>
      <c r="K241" s="400"/>
      <c r="L241" s="400"/>
      <c r="M241" s="400"/>
    </row>
    <row r="242" spans="1:13">
      <c r="E242" s="282"/>
      <c r="F242" s="282"/>
      <c r="G242" s="282"/>
      <c r="H242" s="282"/>
      <c r="I242" s="282"/>
      <c r="J242" s="282"/>
      <c r="K242" s="282"/>
      <c r="L242" s="282"/>
      <c r="M242" s="282"/>
    </row>
    <row r="243" spans="1:13">
      <c r="A243" s="12" t="s">
        <v>179</v>
      </c>
      <c r="D243" s="115">
        <v>0</v>
      </c>
      <c r="E243" s="115">
        <v>0</v>
      </c>
      <c r="F243" s="115">
        <v>0</v>
      </c>
      <c r="G243" s="108">
        <f>+SUM('TL 2'!F84:F86)</f>
        <v>16.25</v>
      </c>
      <c r="H243" s="108">
        <f>+'TL 2'!F101</f>
        <v>60.600000000000009</v>
      </c>
      <c r="I243" s="108">
        <f>+'TL 2'!F115</f>
        <v>51.000000000000007</v>
      </c>
      <c r="J243" s="108">
        <f>+'TL 2'!F129</f>
        <v>39.75</v>
      </c>
      <c r="K243" s="108">
        <f>+'TL 2'!F143</f>
        <v>26.549999999999997</v>
      </c>
      <c r="L243" s="108">
        <f>+'TL 2'!F157</f>
        <v>13.349999999999998</v>
      </c>
      <c r="M243" s="108">
        <f>+'TL 2'!F171</f>
        <v>1.7250000000000001</v>
      </c>
    </row>
    <row r="244" spans="1:13">
      <c r="A244" s="12" t="s">
        <v>345</v>
      </c>
      <c r="D244" s="115">
        <v>0</v>
      </c>
      <c r="E244" s="115">
        <v>0</v>
      </c>
      <c r="F244" s="115">
        <v>0</v>
      </c>
      <c r="G244" s="108">
        <v>0</v>
      </c>
      <c r="H244" s="108">
        <v>1</v>
      </c>
      <c r="I244" s="108">
        <v>1</v>
      </c>
      <c r="J244" s="108">
        <v>1</v>
      </c>
      <c r="K244" s="108">
        <v>1</v>
      </c>
      <c r="L244" s="108">
        <v>1</v>
      </c>
      <c r="M244" s="108">
        <v>1</v>
      </c>
    </row>
    <row r="245" spans="1:13">
      <c r="A245" s="12" t="s">
        <v>180</v>
      </c>
      <c r="D245" s="115">
        <v>0</v>
      </c>
      <c r="E245" s="115">
        <v>0</v>
      </c>
      <c r="F245" s="115">
        <v>0</v>
      </c>
      <c r="G245" s="108">
        <f>+'Project BS P2 '!E14*0.1/4</f>
        <v>2.5</v>
      </c>
      <c r="H245" s="108">
        <f>+'Project BS P2 '!F14*0.1</f>
        <v>10</v>
      </c>
      <c r="I245" s="108">
        <f>+'Project BS P2 '!G14*0.1</f>
        <v>10</v>
      </c>
      <c r="J245" s="108">
        <f>+'Project BS P2 '!H14*0.1</f>
        <v>10</v>
      </c>
      <c r="K245" s="108">
        <f>+'Project BS P2 '!I14*0.1</f>
        <v>10</v>
      </c>
      <c r="L245" s="108">
        <f>+'Project BS P2 '!J14*0.1</f>
        <v>10</v>
      </c>
      <c r="M245" s="108">
        <f>+'Project BS P2 '!K14*0.1</f>
        <v>10</v>
      </c>
    </row>
    <row r="247" spans="1:13">
      <c r="A247" s="397" t="s">
        <v>214</v>
      </c>
      <c r="B247" s="368"/>
      <c r="C247" s="400"/>
      <c r="D247" s="400">
        <f>+D240-D243-D245-D244</f>
        <v>0</v>
      </c>
      <c r="E247" s="400">
        <f t="shared" ref="E247:K247" si="112">+E240-E243-E245-E244</f>
        <v>0</v>
      </c>
      <c r="F247" s="400">
        <f t="shared" si="112"/>
        <v>0</v>
      </c>
      <c r="G247" s="400">
        <f t="shared" si="112"/>
        <v>15.174785034518898</v>
      </c>
      <c r="H247" s="400">
        <f t="shared" si="112"/>
        <v>181.81943879024908</v>
      </c>
      <c r="I247" s="400">
        <f t="shared" si="112"/>
        <v>191.41943879024907</v>
      </c>
      <c r="J247" s="400">
        <f t="shared" si="112"/>
        <v>222.55569732285801</v>
      </c>
      <c r="K247" s="400">
        <f t="shared" si="112"/>
        <v>220.5367387902491</v>
      </c>
      <c r="L247" s="400">
        <f t="shared" ref="L247:M247" si="113">+L240-L243-L245-L244</f>
        <v>251.4813559098144</v>
      </c>
      <c r="M247" s="400">
        <f t="shared" si="113"/>
        <v>245.36173879024909</v>
      </c>
    </row>
    <row r="248" spans="1:13">
      <c r="A248" s="368"/>
      <c r="B248" s="368"/>
      <c r="C248" s="368"/>
      <c r="D248" s="368"/>
      <c r="E248" s="400"/>
      <c r="F248" s="400"/>
      <c r="G248" s="400"/>
      <c r="H248" s="400"/>
      <c r="I248" s="400"/>
      <c r="J248" s="400"/>
      <c r="K248" s="400"/>
      <c r="L248" s="400"/>
      <c r="M248" s="400"/>
    </row>
  </sheetData>
  <mergeCells count="3">
    <mergeCell ref="A4:M4"/>
    <mergeCell ref="A88:M88"/>
    <mergeCell ref="A202:M202"/>
  </mergeCells>
  <pageMargins left="0.7" right="0.7" top="0.75" bottom="0.75" header="0.3" footer="0.3"/>
  <pageSetup paperSize="9" scale="57" orientation="landscape" r:id="rId1"/>
  <headerFooter>
    <oddHeader>&amp;C&amp;"Book Antiqua,Bold"&amp;13</oddHeader>
    <oddFooter>&amp;C&amp;"-,Bold"&amp;12Prepared by JNR Corporate Advisory Services Private Limited, Contact details: jnr4india@gmail.com, +918602267779, +918962611446</oddFooter>
  </headerFooter>
  <rowBreaks count="5" manualBreakCount="5">
    <brk id="37" max="12" man="1"/>
    <brk id="83" max="12" man="1"/>
    <brk id="126" max="12" man="1"/>
    <brk id="170" max="12" man="1"/>
    <brk id="20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392FD-C19C-4CA9-BCA1-7A7D7D8527DD}">
  <sheetPr>
    <tabColor rgb="FF92D050"/>
  </sheetPr>
  <dimension ref="A1:O19"/>
  <sheetViews>
    <sheetView showGridLines="0" view="pageBreakPreview" zoomScaleSheetLayoutView="100" zoomScalePageLayoutView="154" workbookViewId="0">
      <selection activeCell="M7" sqref="M7"/>
    </sheetView>
  </sheetViews>
  <sheetFormatPr defaultColWidth="9.1796875" defaultRowHeight="14.5"/>
  <cols>
    <col min="1" max="1" width="7.1796875" style="118" customWidth="1"/>
    <col min="2" max="2" width="3.26953125" style="118" customWidth="1"/>
    <col min="3" max="3" width="4.1796875" style="118" customWidth="1"/>
    <col min="4" max="5" width="9.1796875" style="118"/>
    <col min="6" max="6" width="17.453125" style="118" customWidth="1"/>
    <col min="7" max="7" width="12.7265625" style="118" customWidth="1"/>
    <col min="8" max="10" width="12.453125" style="118" customWidth="1"/>
    <col min="11" max="11" width="12.453125" style="118" bestFit="1" customWidth="1"/>
    <col min="12" max="15" width="12.453125" style="118" customWidth="1"/>
    <col min="16" max="16384" width="9.1796875" style="118"/>
  </cols>
  <sheetData>
    <row r="1" spans="1:15" ht="30" customHeight="1">
      <c r="A1" s="602" t="s">
        <v>206</v>
      </c>
      <c r="B1" s="602"/>
      <c r="C1" s="602"/>
      <c r="D1" s="602"/>
      <c r="E1" s="602"/>
      <c r="F1" s="602"/>
      <c r="G1" s="602"/>
      <c r="H1" s="602"/>
      <c r="I1" s="602"/>
      <c r="J1" s="602"/>
      <c r="K1" s="602"/>
      <c r="L1" s="602"/>
      <c r="M1" s="602"/>
      <c r="N1" s="602"/>
      <c r="O1" s="602"/>
    </row>
    <row r="2" spans="1:15">
      <c r="A2" s="561"/>
      <c r="B2" s="561"/>
      <c r="C2" s="561"/>
      <c r="D2" s="561"/>
      <c r="E2" s="561"/>
      <c r="F2" s="561"/>
      <c r="G2" s="562"/>
      <c r="H2" s="561"/>
      <c r="I2" s="561"/>
      <c r="J2" s="561"/>
      <c r="K2" s="562" t="s">
        <v>84</v>
      </c>
      <c r="L2" s="562"/>
      <c r="M2" s="561"/>
      <c r="N2" s="561"/>
      <c r="O2" s="561"/>
    </row>
    <row r="3" spans="1:15">
      <c r="A3" s="599" t="s">
        <v>85</v>
      </c>
      <c r="B3" s="599"/>
      <c r="C3" s="599"/>
      <c r="D3" s="599"/>
      <c r="E3" s="599"/>
      <c r="F3" s="599"/>
      <c r="G3" s="562"/>
      <c r="H3" s="562" t="s">
        <v>86</v>
      </c>
      <c r="I3" s="562"/>
      <c r="J3" s="562"/>
      <c r="K3" s="561"/>
      <c r="L3" s="561"/>
      <c r="M3" s="561"/>
      <c r="N3" s="561"/>
      <c r="O3" s="561"/>
    </row>
    <row r="4" spans="1:15">
      <c r="A4" s="561"/>
      <c r="B4" s="561"/>
      <c r="C4" s="561"/>
      <c r="D4" s="561"/>
      <c r="E4" s="561"/>
      <c r="F4" s="561"/>
      <c r="G4" s="561" t="s">
        <v>20</v>
      </c>
      <c r="H4" s="561" t="s">
        <v>21</v>
      </c>
      <c r="I4" s="561" t="s">
        <v>27</v>
      </c>
      <c r="J4" s="561" t="s">
        <v>28</v>
      </c>
      <c r="K4" s="561" t="s">
        <v>57</v>
      </c>
      <c r="L4" s="561" t="s">
        <v>138</v>
      </c>
      <c r="M4" s="561" t="s">
        <v>225</v>
      </c>
      <c r="N4" s="561" t="s">
        <v>729</v>
      </c>
      <c r="O4" s="561" t="s">
        <v>730</v>
      </c>
    </row>
    <row r="5" spans="1:15" ht="19.5">
      <c r="A5" s="558"/>
      <c r="B5" s="559"/>
      <c r="F5" s="134"/>
      <c r="G5" s="560"/>
      <c r="H5" s="560"/>
      <c r="I5" s="560"/>
      <c r="J5" s="560"/>
      <c r="K5" s="560"/>
      <c r="L5" s="560"/>
      <c r="M5" s="560"/>
      <c r="N5" s="560"/>
      <c r="O5" s="560"/>
    </row>
    <row r="6" spans="1:15">
      <c r="A6" s="132">
        <v>1</v>
      </c>
      <c r="B6" s="133"/>
      <c r="C6" s="118" t="s">
        <v>87</v>
      </c>
      <c r="F6" s="134"/>
      <c r="G6" s="131"/>
      <c r="H6" s="131" t="s">
        <v>31</v>
      </c>
      <c r="I6" s="131"/>
      <c r="J6" s="135"/>
      <c r="K6" s="131"/>
      <c r="L6" s="131"/>
      <c r="M6" s="131"/>
      <c r="N6" s="131"/>
      <c r="O6" s="131"/>
    </row>
    <row r="7" spans="1:15">
      <c r="A7" s="136"/>
      <c r="C7" s="118" t="s">
        <v>88</v>
      </c>
      <c r="F7" s="134"/>
      <c r="G7" s="137">
        <v>0</v>
      </c>
      <c r="H7" s="137">
        <v>0</v>
      </c>
      <c r="I7" s="137">
        <v>300</v>
      </c>
      <c r="J7" s="137">
        <v>300</v>
      </c>
      <c r="K7" s="137">
        <v>300</v>
      </c>
      <c r="L7" s="137">
        <v>300</v>
      </c>
      <c r="M7" s="137">
        <v>300</v>
      </c>
      <c r="N7" s="137">
        <v>300</v>
      </c>
      <c r="O7" s="137">
        <v>300</v>
      </c>
    </row>
    <row r="8" spans="1:15">
      <c r="A8" s="136"/>
      <c r="F8" s="134"/>
      <c r="G8" s="131"/>
      <c r="H8" s="131"/>
      <c r="I8" s="131"/>
      <c r="J8" s="131"/>
      <c r="K8" s="131"/>
      <c r="L8" s="131"/>
      <c r="M8" s="131"/>
      <c r="N8" s="131"/>
      <c r="O8" s="131"/>
    </row>
    <row r="9" spans="1:15" ht="15.5">
      <c r="A9" s="136"/>
      <c r="C9" s="118" t="s">
        <v>89</v>
      </c>
      <c r="F9" s="134"/>
      <c r="G9" s="139"/>
      <c r="H9" s="139"/>
      <c r="I9" s="139"/>
      <c r="J9" s="139"/>
      <c r="K9" s="139"/>
      <c r="L9" s="139"/>
      <c r="M9" s="139"/>
      <c r="N9" s="139"/>
      <c r="O9" s="139"/>
    </row>
    <row r="10" spans="1:15">
      <c r="A10" s="136"/>
      <c r="C10" s="118" t="s">
        <v>90</v>
      </c>
      <c r="F10" s="134"/>
      <c r="G10" s="131">
        <v>1</v>
      </c>
      <c r="H10" s="131">
        <f t="shared" ref="H10:K10" si="0">+G10</f>
        <v>1</v>
      </c>
      <c r="I10" s="131">
        <f t="shared" si="0"/>
        <v>1</v>
      </c>
      <c r="J10" s="131">
        <f t="shared" si="0"/>
        <v>1</v>
      </c>
      <c r="K10" s="131">
        <f t="shared" si="0"/>
        <v>1</v>
      </c>
      <c r="L10" s="131">
        <f>+J10</f>
        <v>1</v>
      </c>
      <c r="M10" s="131">
        <f>+K10</f>
        <v>1</v>
      </c>
      <c r="N10" s="131">
        <f t="shared" ref="N10:O10" si="1">+L10</f>
        <v>1</v>
      </c>
      <c r="O10" s="131">
        <f t="shared" si="1"/>
        <v>1</v>
      </c>
    </row>
    <row r="11" spans="1:15">
      <c r="A11" s="136"/>
      <c r="C11" s="118" t="s">
        <v>91</v>
      </c>
      <c r="F11" s="134"/>
      <c r="G11" s="138">
        <f>+G7*G10</f>
        <v>0</v>
      </c>
      <c r="H11" s="138">
        <f t="shared" ref="H11:M11" si="2">+H7*H10</f>
        <v>0</v>
      </c>
      <c r="I11" s="138">
        <f t="shared" si="2"/>
        <v>300</v>
      </c>
      <c r="J11" s="138">
        <f t="shared" si="2"/>
        <v>300</v>
      </c>
      <c r="K11" s="138">
        <f t="shared" si="2"/>
        <v>300</v>
      </c>
      <c r="L11" s="138">
        <f t="shared" si="2"/>
        <v>300</v>
      </c>
      <c r="M11" s="138">
        <f t="shared" si="2"/>
        <v>300</v>
      </c>
      <c r="N11" s="138">
        <f t="shared" ref="N11:O11" si="3">+N7*N10</f>
        <v>300</v>
      </c>
      <c r="O11" s="138">
        <f t="shared" si="3"/>
        <v>300</v>
      </c>
    </row>
    <row r="12" spans="1:15">
      <c r="A12" s="136"/>
      <c r="C12" s="118" t="s">
        <v>92</v>
      </c>
      <c r="F12" s="134"/>
      <c r="G12" s="140">
        <v>0</v>
      </c>
      <c r="H12" s="140">
        <v>0</v>
      </c>
      <c r="I12" s="140">
        <v>120</v>
      </c>
      <c r="J12" s="140">
        <v>365</v>
      </c>
      <c r="K12" s="140">
        <v>365</v>
      </c>
      <c r="L12" s="140">
        <v>365</v>
      </c>
      <c r="M12" s="140">
        <v>365</v>
      </c>
      <c r="N12" s="140">
        <v>365</v>
      </c>
      <c r="O12" s="140">
        <v>365</v>
      </c>
    </row>
    <row r="13" spans="1:15" ht="17.25" customHeight="1">
      <c r="A13" s="136"/>
      <c r="C13" s="600" t="s">
        <v>93</v>
      </c>
      <c r="D13" s="600"/>
      <c r="E13" s="600"/>
      <c r="F13" s="601"/>
      <c r="G13" s="142">
        <f t="shared" ref="G13:K13" si="4">+G12*G11*G10*8*0.8</f>
        <v>0</v>
      </c>
      <c r="H13" s="142">
        <f t="shared" si="4"/>
        <v>0</v>
      </c>
      <c r="I13" s="142">
        <f t="shared" si="4"/>
        <v>230400</v>
      </c>
      <c r="J13" s="142">
        <f t="shared" si="4"/>
        <v>700800</v>
      </c>
      <c r="K13" s="142">
        <f t="shared" si="4"/>
        <v>700800</v>
      </c>
      <c r="L13" s="142">
        <f>+L12*L11*L10*8*0.8</f>
        <v>700800</v>
      </c>
      <c r="M13" s="142">
        <f>+M12*M11*M10*8*0.8</f>
        <v>700800</v>
      </c>
      <c r="N13" s="142">
        <f t="shared" ref="N13:O13" si="5">+N12*N11*N10*8*0.8</f>
        <v>700800</v>
      </c>
      <c r="O13" s="142">
        <f t="shared" si="5"/>
        <v>700800</v>
      </c>
    </row>
    <row r="14" spans="1:15" ht="9.75" customHeight="1">
      <c r="A14" s="136"/>
      <c r="C14" s="600"/>
      <c r="D14" s="600"/>
      <c r="E14" s="600"/>
      <c r="F14" s="601"/>
      <c r="G14" s="141"/>
      <c r="H14" s="141"/>
      <c r="I14" s="141"/>
      <c r="J14" s="141"/>
      <c r="K14" s="141"/>
      <c r="L14" s="141"/>
      <c r="M14" s="141"/>
      <c r="N14" s="141"/>
      <c r="O14" s="141"/>
    </row>
    <row r="15" spans="1:15" ht="15.5">
      <c r="A15" s="136"/>
      <c r="C15" s="118" t="s">
        <v>94</v>
      </c>
      <c r="F15" s="143">
        <v>2E-3</v>
      </c>
      <c r="G15" s="144">
        <f t="shared" ref="G15:K15" si="6">+G13*$F15</f>
        <v>0</v>
      </c>
      <c r="H15" s="144">
        <f t="shared" si="6"/>
        <v>0</v>
      </c>
      <c r="I15" s="144">
        <f t="shared" si="6"/>
        <v>460.8</v>
      </c>
      <c r="J15" s="144">
        <f t="shared" si="6"/>
        <v>1401.6000000000001</v>
      </c>
      <c r="K15" s="144">
        <f t="shared" si="6"/>
        <v>1401.6000000000001</v>
      </c>
      <c r="L15" s="144">
        <f>+L13*$F15</f>
        <v>1401.6000000000001</v>
      </c>
      <c r="M15" s="144">
        <f>+M13*$F15</f>
        <v>1401.6000000000001</v>
      </c>
      <c r="N15" s="144">
        <f t="shared" ref="N15:O15" si="7">+N13*$F15</f>
        <v>1401.6000000000001</v>
      </c>
      <c r="O15" s="144">
        <f t="shared" si="7"/>
        <v>1401.6000000000001</v>
      </c>
    </row>
    <row r="16" spans="1:15" ht="15.5">
      <c r="A16" s="136"/>
      <c r="C16" s="118" t="s">
        <v>95</v>
      </c>
      <c r="F16" s="143"/>
      <c r="G16" s="145">
        <f t="shared" ref="G16:K16" si="8">+G15+G13</f>
        <v>0</v>
      </c>
      <c r="H16" s="145">
        <f t="shared" si="8"/>
        <v>0</v>
      </c>
      <c r="I16" s="145">
        <f t="shared" si="8"/>
        <v>230860.79999999999</v>
      </c>
      <c r="J16" s="145">
        <f t="shared" si="8"/>
        <v>702201.6</v>
      </c>
      <c r="K16" s="145">
        <f t="shared" si="8"/>
        <v>702201.6</v>
      </c>
      <c r="L16" s="145">
        <f>+L15+L13</f>
        <v>702201.6</v>
      </c>
      <c r="M16" s="145">
        <f>+M15+M13</f>
        <v>702201.6</v>
      </c>
      <c r="N16" s="145">
        <f t="shared" ref="N16:O16" si="9">+N15+N13</f>
        <v>702201.6</v>
      </c>
      <c r="O16" s="145">
        <f t="shared" si="9"/>
        <v>702201.6</v>
      </c>
    </row>
    <row r="17" spans="1:15">
      <c r="A17" s="136"/>
      <c r="C17" s="118" t="s">
        <v>100</v>
      </c>
      <c r="F17" s="134"/>
      <c r="G17" s="135">
        <v>8</v>
      </c>
      <c r="H17" s="135">
        <f t="shared" ref="H17:K17" si="10">G17</f>
        <v>8</v>
      </c>
      <c r="I17" s="135">
        <f t="shared" si="10"/>
        <v>8</v>
      </c>
      <c r="J17" s="135">
        <f t="shared" si="10"/>
        <v>8</v>
      </c>
      <c r="K17" s="135">
        <f t="shared" si="10"/>
        <v>8</v>
      </c>
      <c r="L17" s="135">
        <f>J17</f>
        <v>8</v>
      </c>
      <c r="M17" s="135">
        <f>K17</f>
        <v>8</v>
      </c>
      <c r="N17" s="135">
        <f t="shared" ref="N17:O17" si="11">L17</f>
        <v>8</v>
      </c>
      <c r="O17" s="135">
        <f t="shared" si="11"/>
        <v>8</v>
      </c>
    </row>
    <row r="18" spans="1:15">
      <c r="A18" s="401"/>
      <c r="B18" s="402"/>
      <c r="C18" s="402" t="s">
        <v>96</v>
      </c>
      <c r="D18" s="402"/>
      <c r="E18" s="402"/>
      <c r="F18" s="403"/>
      <c r="G18" s="404">
        <f t="shared" ref="G18:K18" si="12">+G16*G17/100000</f>
        <v>0</v>
      </c>
      <c r="H18" s="404">
        <f t="shared" si="12"/>
        <v>0</v>
      </c>
      <c r="I18" s="404">
        <f t="shared" si="12"/>
        <v>18.468864</v>
      </c>
      <c r="J18" s="404">
        <f t="shared" si="12"/>
        <v>56.176127999999999</v>
      </c>
      <c r="K18" s="404">
        <f t="shared" si="12"/>
        <v>56.176127999999999</v>
      </c>
      <c r="L18" s="404">
        <f>+L16*L17/100000</f>
        <v>56.176127999999999</v>
      </c>
      <c r="M18" s="404">
        <f>+M16*M17/100000</f>
        <v>56.176127999999999</v>
      </c>
      <c r="N18" s="404">
        <f t="shared" ref="N18:O18" si="13">+N16*N17/100000</f>
        <v>56.176127999999999</v>
      </c>
      <c r="O18" s="404">
        <f t="shared" si="13"/>
        <v>56.176127999999999</v>
      </c>
    </row>
    <row r="19" spans="1:15">
      <c r="A19" s="136"/>
      <c r="F19" s="134"/>
      <c r="G19" s="135"/>
      <c r="H19" s="135"/>
      <c r="I19" s="135"/>
      <c r="J19" s="135"/>
      <c r="K19" s="135"/>
      <c r="L19" s="135"/>
      <c r="M19" s="138"/>
      <c r="N19" s="138"/>
      <c r="O19" s="138"/>
    </row>
  </sheetData>
  <mergeCells count="3">
    <mergeCell ref="A3:F3"/>
    <mergeCell ref="C13:F14"/>
    <mergeCell ref="A1:O1"/>
  </mergeCells>
  <pageMargins left="0.7" right="0.7" top="0.75" bottom="0.75" header="0.3" footer="0.3"/>
  <pageSetup scale="73" orientation="landscape" r:id="rId1"/>
  <headerFooter>
    <oddHeader>&amp;C&amp;"Book Antiqua,Bold"&amp;13</oddHeader>
    <oddFooter>&amp;C&amp;"-,Bold"&amp;12Prepared by JNR Corporate Advisory Services Private Limited, Contact details: jnr4india@gmail.com, +918602267779, +918962611446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6A69-8F13-4CB6-BC15-18A4123D00C3}">
  <sheetPr>
    <tabColor rgb="FF92D050"/>
  </sheetPr>
  <dimension ref="A1:K134"/>
  <sheetViews>
    <sheetView showGridLines="0" view="pageBreakPreview" zoomScale="80" zoomScaleSheetLayoutView="80" workbookViewId="0">
      <selection activeCell="K25" sqref="K25"/>
    </sheetView>
  </sheetViews>
  <sheetFormatPr defaultRowHeight="14.5"/>
  <cols>
    <col min="1" max="1" width="26.81640625" bestFit="1" customWidth="1"/>
    <col min="2" max="2" width="18.54296875" bestFit="1" customWidth="1"/>
    <col min="3" max="3" width="15.81640625" bestFit="1" customWidth="1"/>
    <col min="4" max="4" width="15.81640625" customWidth="1"/>
    <col min="5" max="6" width="14.81640625" customWidth="1"/>
    <col min="7" max="7" width="11.54296875" customWidth="1"/>
    <col min="8" max="8" width="17.453125" bestFit="1" customWidth="1"/>
    <col min="9" max="9" width="17.453125" customWidth="1"/>
    <col min="10" max="10" width="15.81640625" bestFit="1" customWidth="1"/>
    <col min="11" max="11" width="9.453125" bestFit="1" customWidth="1"/>
    <col min="12" max="12" width="14.453125" bestFit="1" customWidth="1"/>
  </cols>
  <sheetData>
    <row r="1" spans="1:11" ht="20">
      <c r="A1" s="607" t="s">
        <v>32</v>
      </c>
      <c r="B1" s="607"/>
      <c r="C1" s="607"/>
      <c r="D1" s="607"/>
      <c r="E1" s="607"/>
      <c r="F1" s="607"/>
      <c r="G1" s="607"/>
      <c r="H1" s="607"/>
      <c r="I1" s="607"/>
      <c r="J1" s="607"/>
    </row>
    <row r="2" spans="1:11" ht="15.5">
      <c r="A2" s="405"/>
      <c r="B2" s="405"/>
      <c r="C2" s="405"/>
      <c r="D2" s="405"/>
      <c r="E2" s="406"/>
      <c r="F2" s="406"/>
      <c r="G2" s="406"/>
      <c r="H2" s="608" t="s">
        <v>33</v>
      </c>
      <c r="I2" s="608"/>
      <c r="J2" s="608"/>
    </row>
    <row r="3" spans="1:11" ht="34.5" customHeight="1">
      <c r="A3" s="407" t="s">
        <v>34</v>
      </c>
      <c r="B3" s="609" t="s">
        <v>51</v>
      </c>
      <c r="C3" s="408" t="s">
        <v>81</v>
      </c>
      <c r="D3" s="408" t="s">
        <v>215</v>
      </c>
      <c r="E3" s="611" t="s">
        <v>50</v>
      </c>
      <c r="F3" s="611" t="s">
        <v>216</v>
      </c>
      <c r="G3" s="407" t="s">
        <v>15</v>
      </c>
      <c r="H3" s="609" t="s">
        <v>35</v>
      </c>
      <c r="I3" s="609" t="s">
        <v>217</v>
      </c>
      <c r="J3" s="407" t="s">
        <v>218</v>
      </c>
      <c r="K3" s="606"/>
    </row>
    <row r="4" spans="1:11" ht="16" thickBot="1">
      <c r="A4" s="409"/>
      <c r="B4" s="610"/>
      <c r="C4" s="410"/>
      <c r="D4" s="410"/>
      <c r="E4" s="612"/>
      <c r="F4" s="612"/>
      <c r="G4" s="409"/>
      <c r="H4" s="610"/>
      <c r="I4" s="610"/>
      <c r="J4" s="409"/>
      <c r="K4" s="606"/>
    </row>
    <row r="5" spans="1:11" ht="19" thickBot="1">
      <c r="A5" s="603" t="s">
        <v>347</v>
      </c>
      <c r="B5" s="604"/>
      <c r="C5" s="604"/>
      <c r="D5" s="604"/>
      <c r="E5" s="604"/>
      <c r="F5" s="604"/>
      <c r="G5" s="604"/>
      <c r="H5" s="604"/>
      <c r="I5" s="604"/>
      <c r="J5" s="605"/>
    </row>
    <row r="6" spans="1:11" ht="15.5">
      <c r="A6" s="86"/>
      <c r="B6" s="43"/>
      <c r="C6" s="43"/>
      <c r="D6" s="43"/>
      <c r="E6" s="43"/>
      <c r="F6" s="43"/>
      <c r="G6" s="43"/>
      <c r="H6" s="43"/>
      <c r="I6" s="43"/>
      <c r="J6" s="43"/>
    </row>
    <row r="7" spans="1:11" ht="15.5">
      <c r="A7" s="86" t="s">
        <v>46</v>
      </c>
      <c r="B7" s="44">
        <v>0</v>
      </c>
      <c r="C7" s="44">
        <v>0</v>
      </c>
      <c r="D7" s="44">
        <v>0</v>
      </c>
      <c r="E7" s="44">
        <f>SUM(B7:C7)-D7</f>
        <v>0</v>
      </c>
      <c r="F7" s="44">
        <v>0</v>
      </c>
      <c r="G7" s="44">
        <v>0</v>
      </c>
      <c r="H7" s="44">
        <v>0</v>
      </c>
      <c r="I7" s="44">
        <f>+F7+H7</f>
        <v>0</v>
      </c>
      <c r="J7" s="44">
        <f>+E7-H7</f>
        <v>0</v>
      </c>
    </row>
    <row r="8" spans="1:11" ht="15.5">
      <c r="A8" s="86"/>
      <c r="B8" s="45"/>
      <c r="C8" s="45"/>
      <c r="D8" s="45"/>
      <c r="E8" s="45"/>
      <c r="F8" s="45"/>
      <c r="G8" s="46"/>
      <c r="H8" s="44"/>
      <c r="I8" s="44"/>
      <c r="J8" s="44"/>
    </row>
    <row r="9" spans="1:11" ht="15.5">
      <c r="A9" s="86" t="s">
        <v>47</v>
      </c>
      <c r="B9" s="44">
        <v>0</v>
      </c>
      <c r="C9" s="44">
        <v>0</v>
      </c>
      <c r="D9" s="44">
        <v>0</v>
      </c>
      <c r="E9" s="44">
        <f>SUM(B9:C9)-D9</f>
        <v>0</v>
      </c>
      <c r="F9" s="44">
        <v>0</v>
      </c>
      <c r="G9" s="98">
        <v>3.1666659999999999E-2</v>
      </c>
      <c r="H9" s="44">
        <v>0</v>
      </c>
      <c r="I9" s="44">
        <f>+F9+H9</f>
        <v>0</v>
      </c>
      <c r="J9" s="44">
        <f>+E9-I9</f>
        <v>0</v>
      </c>
    </row>
    <row r="10" spans="1:11" ht="15.5">
      <c r="A10" s="86"/>
      <c r="B10" s="45"/>
      <c r="C10" s="45"/>
      <c r="D10" s="45"/>
      <c r="E10" s="45"/>
      <c r="F10" s="45"/>
      <c r="G10" s="46"/>
      <c r="H10" s="44"/>
      <c r="I10" s="44"/>
      <c r="J10" s="44"/>
    </row>
    <row r="11" spans="1:11" ht="15.5">
      <c r="A11" s="86" t="s">
        <v>110</v>
      </c>
      <c r="B11" s="44">
        <v>0</v>
      </c>
      <c r="C11" s="44">
        <v>0</v>
      </c>
      <c r="D11" s="44">
        <v>0</v>
      </c>
      <c r="E11" s="44">
        <f t="shared" ref="E11:E15" si="0">SUM(B11:C11)-D11</f>
        <v>0</v>
      </c>
      <c r="F11" s="44">
        <v>0</v>
      </c>
      <c r="G11" s="98">
        <v>9.5000000000000001E-2</v>
      </c>
      <c r="H11" s="44">
        <v>0</v>
      </c>
      <c r="I11" s="44">
        <f>+F11+H11</f>
        <v>0</v>
      </c>
      <c r="J11" s="44">
        <f>+E11-I11</f>
        <v>0</v>
      </c>
    </row>
    <row r="12" spans="1:11" ht="15.5">
      <c r="A12" s="86"/>
      <c r="B12" s="47"/>
      <c r="C12" s="47"/>
      <c r="D12" s="47"/>
      <c r="E12" s="44"/>
      <c r="F12" s="47"/>
      <c r="G12" s="48"/>
      <c r="H12" s="44"/>
      <c r="I12" s="44"/>
      <c r="J12" s="44"/>
    </row>
    <row r="13" spans="1:11" ht="15.5">
      <c r="A13" s="87" t="s">
        <v>37</v>
      </c>
      <c r="B13" s="44">
        <v>0</v>
      </c>
      <c r="C13" s="44">
        <v>0</v>
      </c>
      <c r="D13" s="44">
        <v>0</v>
      </c>
      <c r="E13" s="44">
        <f t="shared" si="0"/>
        <v>0</v>
      </c>
      <c r="F13" s="44">
        <v>0</v>
      </c>
      <c r="G13" s="99">
        <v>0.1</v>
      </c>
      <c r="H13" s="44">
        <v>0</v>
      </c>
      <c r="I13" s="44">
        <f>+F13+H13</f>
        <v>0</v>
      </c>
      <c r="J13" s="44">
        <f>+E13-I13</f>
        <v>0</v>
      </c>
    </row>
    <row r="14" spans="1:11" ht="15.5">
      <c r="A14" s="86"/>
      <c r="B14" s="44"/>
      <c r="C14" s="44"/>
      <c r="D14" s="44"/>
      <c r="E14" s="44"/>
      <c r="F14" s="44"/>
      <c r="G14" s="44"/>
      <c r="H14" s="44"/>
      <c r="I14" s="44"/>
      <c r="J14" s="44"/>
    </row>
    <row r="15" spans="1:11" ht="15.5">
      <c r="A15" s="86" t="s">
        <v>349</v>
      </c>
      <c r="B15" s="44">
        <v>0</v>
      </c>
      <c r="C15" s="44">
        <v>0</v>
      </c>
      <c r="D15" s="44">
        <v>0</v>
      </c>
      <c r="E15" s="44">
        <f t="shared" si="0"/>
        <v>0</v>
      </c>
      <c r="F15" s="44">
        <v>0</v>
      </c>
      <c r="G15" s="99">
        <v>0.25</v>
      </c>
      <c r="H15" s="44">
        <f>+E15*G15</f>
        <v>0</v>
      </c>
      <c r="I15" s="44">
        <f>+F15+H15</f>
        <v>0</v>
      </c>
      <c r="J15" s="44">
        <f>+E15-I15</f>
        <v>0</v>
      </c>
    </row>
    <row r="16" spans="1:11" ht="15.5">
      <c r="A16" s="86"/>
      <c r="B16" s="44"/>
      <c r="C16" s="44"/>
      <c r="D16" s="44"/>
      <c r="E16" s="44"/>
      <c r="F16" s="44"/>
      <c r="G16" s="44"/>
      <c r="H16" s="44"/>
      <c r="I16" s="44"/>
      <c r="J16" s="44"/>
    </row>
    <row r="17" spans="1:10" ht="16" thickBot="1">
      <c r="A17" s="413" t="s">
        <v>30</v>
      </c>
      <c r="B17" s="412">
        <f>+SUM(B7:B15)</f>
        <v>0</v>
      </c>
      <c r="C17" s="412">
        <f t="shared" ref="C17:J17" si="1">+SUM(C7:C15)</f>
        <v>0</v>
      </c>
      <c r="D17" s="412">
        <f t="shared" si="1"/>
        <v>0</v>
      </c>
      <c r="E17" s="412">
        <f t="shared" si="1"/>
        <v>0</v>
      </c>
      <c r="F17" s="412">
        <f t="shared" si="1"/>
        <v>0</v>
      </c>
      <c r="G17" s="412">
        <f t="shared" si="1"/>
        <v>0.47666666000000002</v>
      </c>
      <c r="H17" s="412">
        <f t="shared" si="1"/>
        <v>0</v>
      </c>
      <c r="I17" s="412">
        <f t="shared" si="1"/>
        <v>0</v>
      </c>
      <c r="J17" s="412">
        <f t="shared" si="1"/>
        <v>0</v>
      </c>
    </row>
    <row r="18" spans="1:10" ht="19" thickBot="1">
      <c r="A18" s="603" t="s">
        <v>348</v>
      </c>
      <c r="B18" s="604"/>
      <c r="C18" s="604"/>
      <c r="D18" s="604"/>
      <c r="E18" s="604"/>
      <c r="F18" s="604"/>
      <c r="G18" s="604"/>
      <c r="H18" s="604"/>
      <c r="I18" s="604"/>
      <c r="J18" s="605"/>
    </row>
    <row r="19" spans="1:10" ht="15.5">
      <c r="A19" s="86"/>
      <c r="B19" s="43"/>
      <c r="C19" s="43"/>
      <c r="D19" s="43"/>
      <c r="E19" s="43"/>
      <c r="F19" s="43"/>
      <c r="G19" s="43"/>
      <c r="H19" s="43"/>
      <c r="I19" s="43"/>
      <c r="J19" s="43"/>
    </row>
    <row r="20" spans="1:10" ht="15.5">
      <c r="A20" s="86" t="s">
        <v>46</v>
      </c>
      <c r="B20" s="44">
        <f>+E7</f>
        <v>0</v>
      </c>
      <c r="C20" s="44">
        <v>0</v>
      </c>
      <c r="D20" s="44">
        <v>0</v>
      </c>
      <c r="E20" s="44">
        <f>SUM(B20:C20)-D20</f>
        <v>0</v>
      </c>
      <c r="F20" s="44">
        <f>+I7</f>
        <v>0</v>
      </c>
      <c r="G20" s="44">
        <v>0</v>
      </c>
      <c r="H20" s="44">
        <v>0</v>
      </c>
      <c r="I20" s="44">
        <f>+F20+H20</f>
        <v>0</v>
      </c>
      <c r="J20" s="44">
        <f>+E20-H20</f>
        <v>0</v>
      </c>
    </row>
    <row r="21" spans="1:10" ht="15.5">
      <c r="A21" s="86"/>
      <c r="B21" s="45"/>
      <c r="C21" s="45"/>
      <c r="D21" s="45"/>
      <c r="E21" s="45"/>
      <c r="F21" s="45"/>
      <c r="G21" s="46"/>
      <c r="H21" s="44"/>
      <c r="I21" s="44"/>
      <c r="J21" s="44"/>
    </row>
    <row r="22" spans="1:10" ht="15.5">
      <c r="A22" s="86" t="s">
        <v>47</v>
      </c>
      <c r="B22" s="44">
        <f>+E9</f>
        <v>0</v>
      </c>
      <c r="C22" s="44">
        <v>0</v>
      </c>
      <c r="D22" s="44">
        <v>0</v>
      </c>
      <c r="E22" s="44">
        <f>SUM(B22:C22)-D22</f>
        <v>0</v>
      </c>
      <c r="F22" s="44">
        <f>+I9</f>
        <v>0</v>
      </c>
      <c r="G22" s="98">
        <v>3.1666659999999999E-2</v>
      </c>
      <c r="H22" s="44">
        <v>0</v>
      </c>
      <c r="I22" s="44">
        <f>+F22+H22</f>
        <v>0</v>
      </c>
      <c r="J22" s="44">
        <f>+E22-I22</f>
        <v>0</v>
      </c>
    </row>
    <row r="23" spans="1:10" ht="15.5">
      <c r="A23" s="86"/>
      <c r="B23" s="45"/>
      <c r="C23" s="45"/>
      <c r="D23" s="45"/>
      <c r="E23" s="45"/>
      <c r="F23" s="45"/>
      <c r="G23" s="46"/>
      <c r="H23" s="44"/>
      <c r="I23" s="44"/>
      <c r="J23" s="44"/>
    </row>
    <row r="24" spans="1:10" ht="15.5">
      <c r="A24" s="86" t="s">
        <v>36</v>
      </c>
      <c r="B24" s="44">
        <f>+E11</f>
        <v>0</v>
      </c>
      <c r="C24" s="44">
        <v>0</v>
      </c>
      <c r="D24" s="44">
        <v>0</v>
      </c>
      <c r="E24" s="44">
        <f t="shared" ref="E24:E28" si="2">SUM(B24:C24)-D24</f>
        <v>0</v>
      </c>
      <c r="F24" s="44">
        <f>+I11</f>
        <v>0</v>
      </c>
      <c r="G24" s="98">
        <v>9.5000000000000001E-2</v>
      </c>
      <c r="H24" s="44">
        <v>0</v>
      </c>
      <c r="I24" s="44">
        <f>+F24+H24</f>
        <v>0</v>
      </c>
      <c r="J24" s="44">
        <f>+E24-I24</f>
        <v>0</v>
      </c>
    </row>
    <row r="25" spans="1:10" ht="15.5">
      <c r="A25" s="86"/>
      <c r="B25" s="47"/>
      <c r="C25" s="47"/>
      <c r="D25" s="47"/>
      <c r="E25" s="44"/>
      <c r="F25" s="47"/>
      <c r="G25" s="48"/>
      <c r="H25" s="44"/>
      <c r="I25" s="44"/>
      <c r="J25" s="44"/>
    </row>
    <row r="26" spans="1:10" ht="15.5">
      <c r="A26" s="87" t="s">
        <v>37</v>
      </c>
      <c r="B26" s="44">
        <f>+E13</f>
        <v>0</v>
      </c>
      <c r="C26" s="44">
        <v>0</v>
      </c>
      <c r="D26" s="44">
        <v>0</v>
      </c>
      <c r="E26" s="44">
        <f t="shared" si="2"/>
        <v>0</v>
      </c>
      <c r="F26" s="44">
        <f>+I13</f>
        <v>0</v>
      </c>
      <c r="G26" s="99">
        <v>0.1</v>
      </c>
      <c r="H26" s="44">
        <v>0</v>
      </c>
      <c r="I26" s="44">
        <f>+F26+H26</f>
        <v>0</v>
      </c>
      <c r="J26" s="44">
        <f>+E26-I26</f>
        <v>0</v>
      </c>
    </row>
    <row r="27" spans="1:10" ht="15.5">
      <c r="A27" s="86"/>
      <c r="B27" s="44"/>
      <c r="C27" s="44"/>
      <c r="D27" s="44"/>
      <c r="E27" s="44"/>
      <c r="F27" s="44"/>
      <c r="G27" s="44"/>
      <c r="H27" s="44"/>
      <c r="I27" s="44"/>
      <c r="J27" s="44"/>
    </row>
    <row r="28" spans="1:10" ht="15.5">
      <c r="A28" s="86" t="s">
        <v>349</v>
      </c>
      <c r="B28" s="44">
        <f>+E15</f>
        <v>0</v>
      </c>
      <c r="C28" s="44">
        <v>0</v>
      </c>
      <c r="D28" s="44">
        <v>0</v>
      </c>
      <c r="E28" s="44">
        <f t="shared" si="2"/>
        <v>0</v>
      </c>
      <c r="F28" s="44">
        <f>+I15</f>
        <v>0</v>
      </c>
      <c r="G28" s="99">
        <v>0.15</v>
      </c>
      <c r="H28" s="44">
        <v>0</v>
      </c>
      <c r="I28" s="44">
        <f>+F28+H28</f>
        <v>0</v>
      </c>
      <c r="J28" s="44">
        <f>+E28-I28</f>
        <v>0</v>
      </c>
    </row>
    <row r="29" spans="1:10" ht="15.5">
      <c r="A29" s="86"/>
      <c r="B29" s="44"/>
      <c r="C29" s="44"/>
      <c r="D29" s="44"/>
      <c r="E29" s="44"/>
      <c r="F29" s="44"/>
      <c r="G29" s="44"/>
      <c r="H29" s="44"/>
      <c r="I29" s="44"/>
      <c r="J29" s="44"/>
    </row>
    <row r="30" spans="1:10" ht="16" thickBot="1">
      <c r="A30" s="413" t="s">
        <v>30</v>
      </c>
      <c r="B30" s="412">
        <f>+SUM(B20:B28)</f>
        <v>0</v>
      </c>
      <c r="C30" s="412">
        <f t="shared" ref="C30:J30" si="3">+SUM(C20:C28)</f>
        <v>0</v>
      </c>
      <c r="D30" s="412">
        <f t="shared" si="3"/>
        <v>0</v>
      </c>
      <c r="E30" s="412">
        <f t="shared" si="3"/>
        <v>0</v>
      </c>
      <c r="F30" s="412">
        <f t="shared" si="3"/>
        <v>0</v>
      </c>
      <c r="G30" s="412">
        <f t="shared" si="3"/>
        <v>0.37666665999999999</v>
      </c>
      <c r="H30" s="412">
        <f t="shared" si="3"/>
        <v>0</v>
      </c>
      <c r="I30" s="412">
        <f t="shared" si="3"/>
        <v>0</v>
      </c>
      <c r="J30" s="412">
        <f t="shared" si="3"/>
        <v>0</v>
      </c>
    </row>
    <row r="31" spans="1:10" ht="19" thickBot="1">
      <c r="A31" s="603" t="s">
        <v>41</v>
      </c>
      <c r="B31" s="604"/>
      <c r="C31" s="604"/>
      <c r="D31" s="604"/>
      <c r="E31" s="604"/>
      <c r="F31" s="604"/>
      <c r="G31" s="604"/>
      <c r="H31" s="604"/>
      <c r="I31" s="604"/>
      <c r="J31" s="605"/>
    </row>
    <row r="32" spans="1:10" ht="15.5">
      <c r="A32" s="86"/>
      <c r="B32" s="43"/>
      <c r="C32" s="43"/>
      <c r="D32" s="43"/>
      <c r="E32" s="43"/>
      <c r="F32" s="43"/>
      <c r="G32" s="43"/>
      <c r="H32" s="43"/>
      <c r="I32" s="43"/>
      <c r="J32" s="43"/>
    </row>
    <row r="33" spans="1:10" ht="15.5">
      <c r="A33" s="86" t="s">
        <v>46</v>
      </c>
      <c r="B33" s="44">
        <f>+E20</f>
        <v>0</v>
      </c>
      <c r="C33" s="44">
        <v>0</v>
      </c>
      <c r="D33" s="44">
        <v>0</v>
      </c>
      <c r="E33" s="44">
        <f>SUM(B33:C33)-D33</f>
        <v>0</v>
      </c>
      <c r="F33" s="44">
        <f>+I20</f>
        <v>0</v>
      </c>
      <c r="G33" s="44">
        <v>0</v>
      </c>
      <c r="H33" s="44">
        <v>0</v>
      </c>
      <c r="I33" s="44">
        <f>+F33+H33</f>
        <v>0</v>
      </c>
      <c r="J33" s="44">
        <f>+E33-H33</f>
        <v>0</v>
      </c>
    </row>
    <row r="34" spans="1:10" ht="15.5">
      <c r="A34" s="86"/>
      <c r="B34" s="45"/>
      <c r="C34" s="45"/>
      <c r="D34" s="45"/>
      <c r="E34" s="45"/>
      <c r="F34" s="45"/>
      <c r="G34" s="46"/>
      <c r="H34" s="44"/>
      <c r="I34" s="44"/>
      <c r="J34" s="44"/>
    </row>
    <row r="35" spans="1:10" ht="15.5">
      <c r="A35" s="86" t="s">
        <v>47</v>
      </c>
      <c r="B35" s="44">
        <f>+E22</f>
        <v>0</v>
      </c>
      <c r="C35" s="44">
        <v>150</v>
      </c>
      <c r="D35" s="44">
        <v>0</v>
      </c>
      <c r="E35" s="44">
        <f>SUM(B35:C35)-D35</f>
        <v>150</v>
      </c>
      <c r="F35" s="44">
        <f>+I22</f>
        <v>0</v>
      </c>
      <c r="G35" s="98">
        <v>3.1666659999999999E-2</v>
      </c>
      <c r="H35" s="44">
        <v>0</v>
      </c>
      <c r="I35" s="44">
        <f>+F35+H35</f>
        <v>0</v>
      </c>
      <c r="J35" s="44">
        <f>+E35-I35</f>
        <v>150</v>
      </c>
    </row>
    <row r="36" spans="1:10" ht="15.5">
      <c r="A36" s="86"/>
      <c r="B36" s="45"/>
      <c r="C36" s="45"/>
      <c r="D36" s="45"/>
      <c r="E36" s="45"/>
      <c r="F36" s="45"/>
      <c r="G36" s="46"/>
      <c r="H36" s="44"/>
      <c r="I36" s="44"/>
      <c r="J36" s="44"/>
    </row>
    <row r="37" spans="1:10" ht="15.5">
      <c r="A37" s="86" t="s">
        <v>36</v>
      </c>
      <c r="B37" s="44">
        <f>+E24</f>
        <v>0</v>
      </c>
      <c r="C37" s="44">
        <v>0</v>
      </c>
      <c r="D37" s="44">
        <v>0</v>
      </c>
      <c r="E37" s="44">
        <f t="shared" ref="E37:E41" si="4">SUM(B37:C37)-D37</f>
        <v>0</v>
      </c>
      <c r="F37" s="44">
        <f>+I24</f>
        <v>0</v>
      </c>
      <c r="G37" s="98">
        <v>9.5000000000000001E-2</v>
      </c>
      <c r="H37" s="44">
        <f>+E37*G37</f>
        <v>0</v>
      </c>
      <c r="I37" s="44">
        <f>+F37+H37</f>
        <v>0</v>
      </c>
      <c r="J37" s="44">
        <f>+E37-I37</f>
        <v>0</v>
      </c>
    </row>
    <row r="38" spans="1:10" ht="15.5">
      <c r="A38" s="86"/>
      <c r="B38" s="47"/>
      <c r="C38" s="47"/>
      <c r="D38" s="47"/>
      <c r="E38" s="44"/>
      <c r="F38" s="47"/>
      <c r="G38" s="48"/>
      <c r="H38" s="44"/>
      <c r="I38" s="44"/>
      <c r="J38" s="44"/>
    </row>
    <row r="39" spans="1:10" ht="15.5">
      <c r="A39" s="87" t="s">
        <v>37</v>
      </c>
      <c r="B39" s="44">
        <f>+E26</f>
        <v>0</v>
      </c>
      <c r="C39" s="44">
        <f>70</f>
        <v>70</v>
      </c>
      <c r="D39" s="44">
        <v>0</v>
      </c>
      <c r="E39" s="44">
        <f t="shared" si="4"/>
        <v>70</v>
      </c>
      <c r="F39" s="44">
        <f>+I26</f>
        <v>0</v>
      </c>
      <c r="G39" s="99">
        <v>0.1</v>
      </c>
      <c r="H39" s="44">
        <v>0</v>
      </c>
      <c r="I39" s="44">
        <f>+F39+H39</f>
        <v>0</v>
      </c>
      <c r="J39" s="44">
        <f>+E39-I39</f>
        <v>70</v>
      </c>
    </row>
    <row r="40" spans="1:10" ht="15.5">
      <c r="A40" s="86"/>
      <c r="B40" s="44"/>
      <c r="C40" s="44"/>
      <c r="D40" s="44"/>
      <c r="E40" s="44"/>
      <c r="F40" s="44"/>
      <c r="G40" s="44"/>
      <c r="H40" s="44"/>
      <c r="I40" s="44"/>
      <c r="J40" s="44"/>
    </row>
    <row r="41" spans="1:10" ht="15.5">
      <c r="A41" s="86" t="s">
        <v>219</v>
      </c>
      <c r="B41" s="44">
        <f>+E28</f>
        <v>0</v>
      </c>
      <c r="C41" s="44">
        <v>0</v>
      </c>
      <c r="D41" s="44">
        <v>0</v>
      </c>
      <c r="E41" s="44">
        <f t="shared" si="4"/>
        <v>0</v>
      </c>
      <c r="F41" s="44">
        <f>+I28</f>
        <v>0</v>
      </c>
      <c r="G41" s="99">
        <v>0.15</v>
      </c>
      <c r="H41" s="44">
        <f>+E41*G41/4*3</f>
        <v>0</v>
      </c>
      <c r="I41" s="44">
        <f>+F41+H41</f>
        <v>0</v>
      </c>
      <c r="J41" s="44">
        <f>+E41-I41</f>
        <v>0</v>
      </c>
    </row>
    <row r="42" spans="1:10" ht="15.5">
      <c r="A42" s="86"/>
      <c r="B42" s="44"/>
      <c r="C42" s="44"/>
      <c r="D42" s="44"/>
      <c r="E42" s="44"/>
      <c r="F42" s="44"/>
      <c r="G42" s="44"/>
      <c r="H42" s="44"/>
      <c r="I42" s="44"/>
      <c r="J42" s="44"/>
    </row>
    <row r="43" spans="1:10" ht="16" thickBot="1">
      <c r="A43" s="413" t="s">
        <v>30</v>
      </c>
      <c r="B43" s="412">
        <f>+SUM(B33:B41)</f>
        <v>0</v>
      </c>
      <c r="C43" s="412">
        <f t="shared" ref="C43:J43" si="5">+SUM(C33:C41)</f>
        <v>220</v>
      </c>
      <c r="D43" s="412">
        <f t="shared" si="5"/>
        <v>0</v>
      </c>
      <c r="E43" s="412">
        <f t="shared" si="5"/>
        <v>220</v>
      </c>
      <c r="F43" s="412">
        <f t="shared" si="5"/>
        <v>0</v>
      </c>
      <c r="G43" s="412">
        <f t="shared" si="5"/>
        <v>0.37666665999999999</v>
      </c>
      <c r="H43" s="412">
        <f t="shared" si="5"/>
        <v>0</v>
      </c>
      <c r="I43" s="412">
        <f t="shared" si="5"/>
        <v>0</v>
      </c>
      <c r="J43" s="412">
        <f t="shared" si="5"/>
        <v>220</v>
      </c>
    </row>
    <row r="44" spans="1:10" ht="19" thickBot="1">
      <c r="A44" s="603" t="s">
        <v>42</v>
      </c>
      <c r="B44" s="604"/>
      <c r="C44" s="604"/>
      <c r="D44" s="604"/>
      <c r="E44" s="604"/>
      <c r="F44" s="604"/>
      <c r="G44" s="604"/>
      <c r="H44" s="604"/>
      <c r="I44" s="604"/>
      <c r="J44" s="605"/>
    </row>
    <row r="45" spans="1:10" ht="15.5">
      <c r="A45" s="86"/>
      <c r="B45" s="43"/>
      <c r="C45" s="43"/>
      <c r="D45" s="43"/>
      <c r="E45" s="43"/>
      <c r="F45" s="43"/>
      <c r="G45" s="43"/>
      <c r="H45" s="43"/>
      <c r="I45" s="43"/>
      <c r="J45" s="43"/>
    </row>
    <row r="46" spans="1:10" ht="15.5">
      <c r="A46" s="86" t="s">
        <v>46</v>
      </c>
      <c r="B46" s="44">
        <f>+E33</f>
        <v>0</v>
      </c>
      <c r="C46" s="44">
        <v>0</v>
      </c>
      <c r="D46" s="44">
        <v>0</v>
      </c>
      <c r="E46" s="44">
        <f>SUM(B46:C46)-D46</f>
        <v>0</v>
      </c>
      <c r="F46" s="44">
        <f>+I33</f>
        <v>0</v>
      </c>
      <c r="G46" s="44">
        <v>0</v>
      </c>
      <c r="H46" s="44">
        <v>0</v>
      </c>
      <c r="I46" s="44">
        <f>+F46+H46</f>
        <v>0</v>
      </c>
      <c r="J46" s="44">
        <f>+E46-H46</f>
        <v>0</v>
      </c>
    </row>
    <row r="47" spans="1:10" ht="15.5">
      <c r="A47" s="86"/>
      <c r="B47" s="45"/>
      <c r="C47" s="45"/>
      <c r="D47" s="45"/>
      <c r="E47" s="45"/>
      <c r="F47" s="45"/>
      <c r="G47" s="46"/>
      <c r="H47" s="44"/>
      <c r="I47" s="44"/>
      <c r="J47" s="44"/>
    </row>
    <row r="48" spans="1:10" ht="15.5">
      <c r="A48" s="86" t="s">
        <v>47</v>
      </c>
      <c r="B48" s="44">
        <f>+E35</f>
        <v>150</v>
      </c>
      <c r="C48" s="44">
        <f>+'Project Cost &amp; Capital Expendit'!H6-'Depreciation Chart - Eco Gr P2'!C35</f>
        <v>438.59999999999991</v>
      </c>
      <c r="D48" s="44">
        <v>0</v>
      </c>
      <c r="E48" s="44">
        <f>SUM(B48:C48)-D48</f>
        <v>588.59999999999991</v>
      </c>
      <c r="F48" s="44">
        <f>+I35</f>
        <v>0</v>
      </c>
      <c r="G48" s="98">
        <v>3.1666659999999999E-2</v>
      </c>
      <c r="H48" s="44">
        <f>+E48*G48/4</f>
        <v>4.6597490189999995</v>
      </c>
      <c r="I48" s="44">
        <f>+F48+H48</f>
        <v>4.6597490189999995</v>
      </c>
      <c r="J48" s="44">
        <f>+E48-I48</f>
        <v>583.94025098099996</v>
      </c>
    </row>
    <row r="49" spans="1:10" ht="15.5">
      <c r="A49" s="86"/>
      <c r="B49" s="45"/>
      <c r="C49" s="45"/>
      <c r="D49" s="45"/>
      <c r="E49" s="45"/>
      <c r="F49" s="45"/>
      <c r="G49" s="46"/>
      <c r="H49" s="44"/>
      <c r="I49" s="44"/>
      <c r="J49" s="44"/>
    </row>
    <row r="50" spans="1:10" ht="15.5">
      <c r="A50" s="86" t="s">
        <v>36</v>
      </c>
      <c r="B50" s="44">
        <f>+E37</f>
        <v>0</v>
      </c>
      <c r="C50" s="44">
        <v>0</v>
      </c>
      <c r="D50" s="44">
        <v>0</v>
      </c>
      <c r="E50" s="44">
        <f t="shared" ref="E50:E54" si="6">SUM(B50:C50)-D50</f>
        <v>0</v>
      </c>
      <c r="F50" s="44">
        <f>+I37</f>
        <v>0</v>
      </c>
      <c r="G50" s="98">
        <v>9.5000000000000001E-2</v>
      </c>
      <c r="H50" s="44">
        <f>+E50*G50</f>
        <v>0</v>
      </c>
      <c r="I50" s="44">
        <f>+F50+H50</f>
        <v>0</v>
      </c>
      <c r="J50" s="44">
        <f>+E50-I50</f>
        <v>0</v>
      </c>
    </row>
    <row r="51" spans="1:10" ht="15.5">
      <c r="A51" s="86"/>
      <c r="B51" s="47"/>
      <c r="C51" s="47"/>
      <c r="D51" s="47"/>
      <c r="E51" s="44"/>
      <c r="F51" s="47"/>
      <c r="G51" s="48"/>
      <c r="H51" s="44"/>
      <c r="I51" s="44"/>
      <c r="J51" s="44"/>
    </row>
    <row r="52" spans="1:10" ht="15.5">
      <c r="A52" s="87" t="s">
        <v>37</v>
      </c>
      <c r="B52" s="44">
        <f>+E39</f>
        <v>70</v>
      </c>
      <c r="C52" s="44">
        <f>+'Project Cost &amp; Capital Expendit'!H7+'Project Cost &amp; Capital Expendit'!H8-'Depreciation Chart - Eco Gr P2'!C39</f>
        <v>338.15012568533331</v>
      </c>
      <c r="D52" s="44">
        <v>0</v>
      </c>
      <c r="E52" s="44">
        <f t="shared" si="6"/>
        <v>408.15012568533331</v>
      </c>
      <c r="F52" s="44">
        <f>+I39</f>
        <v>0</v>
      </c>
      <c r="G52" s="99">
        <v>0.1</v>
      </c>
      <c r="H52" s="44">
        <f>+E52*G52/4</f>
        <v>10.203753142133333</v>
      </c>
      <c r="I52" s="44">
        <f>+F52+H52</f>
        <v>10.203753142133333</v>
      </c>
      <c r="J52" s="44">
        <f>+E52-I52</f>
        <v>397.94637254319997</v>
      </c>
    </row>
    <row r="53" spans="1:10" ht="15.5">
      <c r="A53" s="86"/>
      <c r="B53" s="44"/>
      <c r="C53" s="44"/>
      <c r="D53" s="44"/>
      <c r="E53" s="44"/>
      <c r="F53" s="44"/>
      <c r="G53" s="44"/>
      <c r="H53" s="44"/>
      <c r="I53" s="44"/>
      <c r="J53" s="44"/>
    </row>
    <row r="54" spans="1:10" ht="15.5">
      <c r="A54" s="86" t="s">
        <v>219</v>
      </c>
      <c r="B54" s="44">
        <f>+E41</f>
        <v>0</v>
      </c>
      <c r="C54" s="44">
        <v>0</v>
      </c>
      <c r="D54" s="44">
        <v>0</v>
      </c>
      <c r="E54" s="44">
        <f t="shared" si="6"/>
        <v>0</v>
      </c>
      <c r="F54" s="44">
        <f>+I41</f>
        <v>0</v>
      </c>
      <c r="G54" s="99">
        <v>0.15</v>
      </c>
      <c r="H54" s="44">
        <f>+E54*G54</f>
        <v>0</v>
      </c>
      <c r="I54" s="44">
        <f>+F54+H54</f>
        <v>0</v>
      </c>
      <c r="J54" s="44">
        <f>+E54-I54</f>
        <v>0</v>
      </c>
    </row>
    <row r="55" spans="1:10" ht="15.5">
      <c r="A55" s="86"/>
      <c r="B55" s="44"/>
      <c r="C55" s="44"/>
      <c r="D55" s="44"/>
      <c r="E55" s="44"/>
      <c r="F55" s="44"/>
      <c r="G55" s="44"/>
      <c r="H55" s="44"/>
      <c r="I55" s="44"/>
      <c r="J55" s="44"/>
    </row>
    <row r="56" spans="1:10" ht="16" thickBot="1">
      <c r="A56" s="413" t="s">
        <v>30</v>
      </c>
      <c r="B56" s="412">
        <f>+SUM(B46:B54)</f>
        <v>220</v>
      </c>
      <c r="C56" s="412">
        <f t="shared" ref="C56:J56" si="7">+SUM(C46:C54)</f>
        <v>776.75012568533316</v>
      </c>
      <c r="D56" s="412">
        <f t="shared" si="7"/>
        <v>0</v>
      </c>
      <c r="E56" s="412">
        <f t="shared" si="7"/>
        <v>996.75012568533316</v>
      </c>
      <c r="F56" s="412">
        <f t="shared" si="7"/>
        <v>0</v>
      </c>
      <c r="G56" s="412">
        <f t="shared" si="7"/>
        <v>0.37666665999999999</v>
      </c>
      <c r="H56" s="412">
        <f t="shared" si="7"/>
        <v>14.863502161133333</v>
      </c>
      <c r="I56" s="412">
        <f t="shared" si="7"/>
        <v>14.863502161133333</v>
      </c>
      <c r="J56" s="412">
        <f t="shared" si="7"/>
        <v>981.88662352419988</v>
      </c>
    </row>
    <row r="57" spans="1:10" ht="19" thickBot="1">
      <c r="A57" s="603" t="s">
        <v>43</v>
      </c>
      <c r="B57" s="604"/>
      <c r="C57" s="604"/>
      <c r="D57" s="604"/>
      <c r="E57" s="604"/>
      <c r="F57" s="604"/>
      <c r="G57" s="604"/>
      <c r="H57" s="604"/>
      <c r="I57" s="604"/>
      <c r="J57" s="605"/>
    </row>
    <row r="58" spans="1:10" ht="15.5">
      <c r="A58" s="86"/>
      <c r="B58" s="43"/>
      <c r="C58" s="43"/>
      <c r="D58" s="43"/>
      <c r="E58" s="43"/>
      <c r="F58" s="43"/>
      <c r="G58" s="43"/>
      <c r="H58" s="43"/>
      <c r="I58" s="43"/>
      <c r="J58" s="43"/>
    </row>
    <row r="59" spans="1:10" ht="15.5">
      <c r="A59" s="86" t="s">
        <v>46</v>
      </c>
      <c r="B59" s="44">
        <f>+E46</f>
        <v>0</v>
      </c>
      <c r="C59" s="44">
        <v>0</v>
      </c>
      <c r="D59" s="44">
        <v>0</v>
      </c>
      <c r="E59" s="44">
        <f>SUM(B59:C59)-D59</f>
        <v>0</v>
      </c>
      <c r="F59" s="44">
        <f>+I46</f>
        <v>0</v>
      </c>
      <c r="G59" s="44">
        <v>0</v>
      </c>
      <c r="H59" s="44">
        <v>0</v>
      </c>
      <c r="I59" s="44">
        <f>+F59+H59</f>
        <v>0</v>
      </c>
      <c r="J59" s="44">
        <f>+E59-H59</f>
        <v>0</v>
      </c>
    </row>
    <row r="60" spans="1:10" ht="15.5">
      <c r="A60" s="86"/>
      <c r="B60" s="45"/>
      <c r="C60" s="45"/>
      <c r="D60" s="45"/>
      <c r="E60" s="45"/>
      <c r="F60" s="45"/>
      <c r="G60" s="46"/>
      <c r="H60" s="44"/>
      <c r="I60" s="44"/>
      <c r="J60" s="44"/>
    </row>
    <row r="61" spans="1:10" ht="15.5">
      <c r="A61" s="86" t="s">
        <v>47</v>
      </c>
      <c r="B61" s="44">
        <f>+E48</f>
        <v>588.59999999999991</v>
      </c>
      <c r="C61" s="44">
        <v>0</v>
      </c>
      <c r="D61" s="44">
        <v>0</v>
      </c>
      <c r="E61" s="44">
        <f>SUM(B61:C61)-D61</f>
        <v>588.59999999999991</v>
      </c>
      <c r="F61" s="44">
        <f>+I48</f>
        <v>4.6597490189999995</v>
      </c>
      <c r="G61" s="98">
        <v>3.1666659999999999E-2</v>
      </c>
      <c r="H61" s="44">
        <f>+E61*G61</f>
        <v>18.638996075999998</v>
      </c>
      <c r="I61" s="44">
        <f>+F61+H61</f>
        <v>23.298745094999997</v>
      </c>
      <c r="J61" s="44">
        <f>+E61-I61</f>
        <v>565.30125490499995</v>
      </c>
    </row>
    <row r="62" spans="1:10" ht="15.5">
      <c r="A62" s="86"/>
      <c r="B62" s="45"/>
      <c r="C62" s="45"/>
      <c r="D62" s="45"/>
      <c r="E62" s="45"/>
      <c r="F62" s="45"/>
      <c r="G62" s="46"/>
      <c r="H62" s="44"/>
      <c r="I62" s="44"/>
      <c r="J62" s="44"/>
    </row>
    <row r="63" spans="1:10" ht="15.5">
      <c r="A63" s="86" t="s">
        <v>36</v>
      </c>
      <c r="B63" s="44">
        <f>+E50</f>
        <v>0</v>
      </c>
      <c r="C63" s="44">
        <v>0</v>
      </c>
      <c r="D63" s="44">
        <v>0</v>
      </c>
      <c r="E63" s="44">
        <f t="shared" ref="E63:E67" si="8">SUM(B63:C63)-D63</f>
        <v>0</v>
      </c>
      <c r="F63" s="44">
        <f>+I50</f>
        <v>0</v>
      </c>
      <c r="G63" s="98">
        <v>9.5000000000000001E-2</v>
      </c>
      <c r="H63" s="44">
        <f>+E63*G63</f>
        <v>0</v>
      </c>
      <c r="I63" s="44">
        <f>+F63+H63</f>
        <v>0</v>
      </c>
      <c r="J63" s="44">
        <f>+E63-I63</f>
        <v>0</v>
      </c>
    </row>
    <row r="64" spans="1:10" ht="15.5">
      <c r="A64" s="86"/>
      <c r="B64" s="47"/>
      <c r="C64" s="47"/>
      <c r="D64" s="47"/>
      <c r="E64" s="44"/>
      <c r="F64" s="47"/>
      <c r="G64" s="48"/>
      <c r="H64" s="44"/>
      <c r="I64" s="44"/>
      <c r="J64" s="44"/>
    </row>
    <row r="65" spans="1:10" ht="15.5">
      <c r="A65" s="87" t="s">
        <v>37</v>
      </c>
      <c r="B65" s="44">
        <f>+E52</f>
        <v>408.15012568533331</v>
      </c>
      <c r="C65" s="44">
        <v>0</v>
      </c>
      <c r="D65" s="44">
        <v>0</v>
      </c>
      <c r="E65" s="44">
        <f t="shared" si="8"/>
        <v>408.15012568533331</v>
      </c>
      <c r="F65" s="44">
        <f>+I52</f>
        <v>10.203753142133333</v>
      </c>
      <c r="G65" s="99">
        <v>0.1</v>
      </c>
      <c r="H65" s="44">
        <f>+E65*G65</f>
        <v>40.815012568533334</v>
      </c>
      <c r="I65" s="44">
        <f>+F65+H65</f>
        <v>51.018765710666671</v>
      </c>
      <c r="J65" s="44">
        <f>+E65-I65</f>
        <v>357.13135997466662</v>
      </c>
    </row>
    <row r="66" spans="1:10" ht="15.5">
      <c r="A66" s="86"/>
      <c r="B66" s="44"/>
      <c r="C66" s="44"/>
      <c r="D66" s="44"/>
      <c r="E66" s="44"/>
      <c r="F66" s="44"/>
      <c r="G66" s="44"/>
      <c r="H66" s="44"/>
      <c r="I66" s="44"/>
      <c r="J66" s="44"/>
    </row>
    <row r="67" spans="1:10" ht="15.5">
      <c r="A67" s="86" t="s">
        <v>219</v>
      </c>
      <c r="B67" s="44">
        <f>+E54</f>
        <v>0</v>
      </c>
      <c r="C67" s="44">
        <v>0</v>
      </c>
      <c r="D67" s="44">
        <v>0</v>
      </c>
      <c r="E67" s="44">
        <f t="shared" si="8"/>
        <v>0</v>
      </c>
      <c r="F67" s="44">
        <f>+I54</f>
        <v>0</v>
      </c>
      <c r="G67" s="99">
        <v>0.15</v>
      </c>
      <c r="H67" s="44">
        <f>+E67*G67</f>
        <v>0</v>
      </c>
      <c r="I67" s="44">
        <f>+F67+H67</f>
        <v>0</v>
      </c>
      <c r="J67" s="44">
        <f>+E67-I67</f>
        <v>0</v>
      </c>
    </row>
    <row r="68" spans="1:10" ht="15.5">
      <c r="A68" s="86"/>
      <c r="B68" s="44"/>
      <c r="C68" s="44"/>
      <c r="D68" s="44"/>
      <c r="E68" s="44"/>
      <c r="F68" s="44"/>
      <c r="G68" s="44"/>
      <c r="H68" s="44"/>
      <c r="I68" s="44"/>
      <c r="J68" s="44"/>
    </row>
    <row r="69" spans="1:10" ht="16" thickBot="1">
      <c r="A69" s="413" t="s">
        <v>30</v>
      </c>
      <c r="B69" s="412">
        <f>+SUM(B59:B67)</f>
        <v>996.75012568533316</v>
      </c>
      <c r="C69" s="412">
        <f t="shared" ref="C69:J69" si="9">+SUM(C59:C67)</f>
        <v>0</v>
      </c>
      <c r="D69" s="412">
        <f t="shared" si="9"/>
        <v>0</v>
      </c>
      <c r="E69" s="412">
        <f t="shared" si="9"/>
        <v>996.75012568533316</v>
      </c>
      <c r="F69" s="412">
        <f t="shared" si="9"/>
        <v>14.863502161133333</v>
      </c>
      <c r="G69" s="412">
        <f t="shared" si="9"/>
        <v>0.37666665999999999</v>
      </c>
      <c r="H69" s="412">
        <f t="shared" si="9"/>
        <v>59.454008644533332</v>
      </c>
      <c r="I69" s="412">
        <f t="shared" si="9"/>
        <v>74.317510805666672</v>
      </c>
      <c r="J69" s="412">
        <f t="shared" si="9"/>
        <v>922.43261487966652</v>
      </c>
    </row>
    <row r="70" spans="1:10" ht="19" thickBot="1">
      <c r="A70" s="603" t="s">
        <v>60</v>
      </c>
      <c r="B70" s="604"/>
      <c r="C70" s="604"/>
      <c r="D70" s="604"/>
      <c r="E70" s="604"/>
      <c r="F70" s="604"/>
      <c r="G70" s="604"/>
      <c r="H70" s="604"/>
      <c r="I70" s="604"/>
      <c r="J70" s="605"/>
    </row>
    <row r="71" spans="1:10" ht="15.5">
      <c r="A71" s="86"/>
      <c r="B71" s="43"/>
      <c r="C71" s="43"/>
      <c r="D71" s="43"/>
      <c r="E71" s="43"/>
      <c r="F71" s="43"/>
      <c r="G71" s="43"/>
      <c r="H71" s="43"/>
      <c r="I71" s="43"/>
      <c r="J71" s="43"/>
    </row>
    <row r="72" spans="1:10" ht="15.5">
      <c r="A72" s="86" t="s">
        <v>46</v>
      </c>
      <c r="B72" s="44">
        <f>+E59</f>
        <v>0</v>
      </c>
      <c r="C72" s="44">
        <v>0</v>
      </c>
      <c r="D72" s="44">
        <v>0</v>
      </c>
      <c r="E72" s="44">
        <f>SUM(B72:C72)-D72</f>
        <v>0</v>
      </c>
      <c r="F72" s="44">
        <f>+I59</f>
        <v>0</v>
      </c>
      <c r="G72" s="44">
        <v>0</v>
      </c>
      <c r="H72" s="44">
        <v>0</v>
      </c>
      <c r="I72" s="44">
        <f>+F72+H72</f>
        <v>0</v>
      </c>
      <c r="J72" s="44">
        <f>+E72-H72</f>
        <v>0</v>
      </c>
    </row>
    <row r="73" spans="1:10" ht="15.5">
      <c r="A73" s="86"/>
      <c r="B73" s="45"/>
      <c r="C73" s="45"/>
      <c r="D73" s="45"/>
      <c r="E73" s="45"/>
      <c r="F73" s="45"/>
      <c r="G73" s="46"/>
      <c r="H73" s="44"/>
      <c r="I73" s="44"/>
      <c r="J73" s="44"/>
    </row>
    <row r="74" spans="1:10" ht="15.5">
      <c r="A74" s="86" t="s">
        <v>47</v>
      </c>
      <c r="B74" s="44">
        <f>+E61</f>
        <v>588.59999999999991</v>
      </c>
      <c r="C74" s="44">
        <v>0</v>
      </c>
      <c r="D74" s="44">
        <v>0</v>
      </c>
      <c r="E74" s="44">
        <f>SUM(B74:C74)-D74</f>
        <v>588.59999999999991</v>
      </c>
      <c r="F74" s="44">
        <f>+I61</f>
        <v>23.298745094999997</v>
      </c>
      <c r="G74" s="98">
        <v>3.1666659999999999E-2</v>
      </c>
      <c r="H74" s="44">
        <f>+E74*G74</f>
        <v>18.638996075999998</v>
      </c>
      <c r="I74" s="44">
        <f>+F74+H74</f>
        <v>41.937741170999999</v>
      </c>
      <c r="J74" s="44">
        <f>+E74-I74</f>
        <v>546.66225882899994</v>
      </c>
    </row>
    <row r="75" spans="1:10" ht="15.5">
      <c r="A75" s="86"/>
      <c r="B75" s="45"/>
      <c r="C75" s="45"/>
      <c r="D75" s="45"/>
      <c r="E75" s="45"/>
      <c r="F75" s="45"/>
      <c r="G75" s="46"/>
      <c r="H75" s="44"/>
      <c r="I75" s="44"/>
      <c r="J75" s="44"/>
    </row>
    <row r="76" spans="1:10" ht="15.5">
      <c r="A76" s="86" t="s">
        <v>36</v>
      </c>
      <c r="B76" s="44">
        <f>+E63</f>
        <v>0</v>
      </c>
      <c r="C76" s="44">
        <v>0</v>
      </c>
      <c r="D76" s="44">
        <v>0</v>
      </c>
      <c r="E76" s="44">
        <f t="shared" ref="E76:E80" si="10">SUM(B76:C76)-D76</f>
        <v>0</v>
      </c>
      <c r="F76" s="44">
        <f>+I63</f>
        <v>0</v>
      </c>
      <c r="G76" s="98">
        <v>9.5000000000000001E-2</v>
      </c>
      <c r="H76" s="44">
        <f>+E76*G76</f>
        <v>0</v>
      </c>
      <c r="I76" s="44">
        <f>+F76+H76</f>
        <v>0</v>
      </c>
      <c r="J76" s="44">
        <f>+E76-I76</f>
        <v>0</v>
      </c>
    </row>
    <row r="77" spans="1:10" ht="15.5">
      <c r="A77" s="86"/>
      <c r="B77" s="47"/>
      <c r="C77" s="47"/>
      <c r="D77" s="47"/>
      <c r="E77" s="44"/>
      <c r="F77" s="47"/>
      <c r="G77" s="48"/>
      <c r="H77" s="44"/>
      <c r="I77" s="44"/>
      <c r="J77" s="44"/>
    </row>
    <row r="78" spans="1:10" ht="15.5">
      <c r="A78" s="87" t="s">
        <v>37</v>
      </c>
      <c r="B78" s="44">
        <f>+E65</f>
        <v>408.15012568533331</v>
      </c>
      <c r="C78" s="44">
        <v>0</v>
      </c>
      <c r="D78" s="44">
        <v>0</v>
      </c>
      <c r="E78" s="44">
        <f t="shared" si="10"/>
        <v>408.15012568533331</v>
      </c>
      <c r="F78" s="44">
        <f>+I65</f>
        <v>51.018765710666671</v>
      </c>
      <c r="G78" s="99">
        <v>0.1</v>
      </c>
      <c r="H78" s="44">
        <f>+E78*G78</f>
        <v>40.815012568533334</v>
      </c>
      <c r="I78" s="44">
        <f>+F78+H78</f>
        <v>91.833778279200004</v>
      </c>
      <c r="J78" s="44">
        <f>+E78-I78</f>
        <v>316.31634740613333</v>
      </c>
    </row>
    <row r="79" spans="1:10" ht="15.5">
      <c r="A79" s="86"/>
      <c r="B79" s="44"/>
      <c r="C79" s="44"/>
      <c r="D79" s="44"/>
      <c r="E79" s="44"/>
      <c r="F79" s="44"/>
      <c r="G79" s="44"/>
      <c r="H79" s="44"/>
      <c r="I79" s="44"/>
      <c r="J79" s="44"/>
    </row>
    <row r="80" spans="1:10" ht="15.5">
      <c r="A80" s="86" t="s">
        <v>219</v>
      </c>
      <c r="B80" s="44">
        <f>+E67</f>
        <v>0</v>
      </c>
      <c r="C80" s="44">
        <v>0</v>
      </c>
      <c r="D80" s="44">
        <v>0</v>
      </c>
      <c r="E80" s="44">
        <f t="shared" si="10"/>
        <v>0</v>
      </c>
      <c r="F80" s="44">
        <f>+I67</f>
        <v>0</v>
      </c>
      <c r="G80" s="99">
        <v>0.15</v>
      </c>
      <c r="H80" s="44">
        <f>+E80*G80</f>
        <v>0</v>
      </c>
      <c r="I80" s="44">
        <f>+F80+H80</f>
        <v>0</v>
      </c>
      <c r="J80" s="44">
        <f>+E80-I80</f>
        <v>0</v>
      </c>
    </row>
    <row r="81" spans="1:10" ht="15.5">
      <c r="A81" s="86"/>
      <c r="B81" s="44"/>
      <c r="C81" s="44"/>
      <c r="D81" s="44"/>
      <c r="E81" s="44"/>
      <c r="F81" s="44"/>
      <c r="G81" s="44"/>
      <c r="H81" s="44"/>
      <c r="I81" s="44"/>
      <c r="J81" s="44"/>
    </row>
    <row r="82" spans="1:10" ht="16" thickBot="1">
      <c r="A82" s="411" t="s">
        <v>30</v>
      </c>
      <c r="B82" s="412">
        <f>+SUM(B72:B80)</f>
        <v>996.75012568533316</v>
      </c>
      <c r="C82" s="412">
        <f t="shared" ref="C82:J82" si="11">+SUM(C72:C80)</f>
        <v>0</v>
      </c>
      <c r="D82" s="412">
        <f t="shared" si="11"/>
        <v>0</v>
      </c>
      <c r="E82" s="412">
        <f t="shared" si="11"/>
        <v>996.75012568533316</v>
      </c>
      <c r="F82" s="412">
        <f t="shared" si="11"/>
        <v>74.317510805666672</v>
      </c>
      <c r="G82" s="412">
        <f t="shared" si="11"/>
        <v>0.37666665999999999</v>
      </c>
      <c r="H82" s="412">
        <f t="shared" si="11"/>
        <v>59.454008644533332</v>
      </c>
      <c r="I82" s="412">
        <f t="shared" si="11"/>
        <v>133.7715194502</v>
      </c>
      <c r="J82" s="412">
        <f t="shared" si="11"/>
        <v>862.97860623513327</v>
      </c>
    </row>
    <row r="83" spans="1:10" ht="19" thickBot="1">
      <c r="A83" s="603" t="s">
        <v>220</v>
      </c>
      <c r="B83" s="604"/>
      <c r="C83" s="604"/>
      <c r="D83" s="604"/>
      <c r="E83" s="604"/>
      <c r="F83" s="604"/>
      <c r="G83" s="604"/>
      <c r="H83" s="604"/>
      <c r="I83" s="604"/>
      <c r="J83" s="605"/>
    </row>
    <row r="84" spans="1:10" ht="15.5">
      <c r="A84" s="86"/>
      <c r="B84" s="43"/>
      <c r="C84" s="43"/>
      <c r="D84" s="43"/>
      <c r="E84" s="43"/>
      <c r="F84" s="43"/>
      <c r="G84" s="43"/>
      <c r="H84" s="43"/>
      <c r="I84" s="43"/>
      <c r="J84" s="43"/>
    </row>
    <row r="85" spans="1:10" ht="15.5">
      <c r="A85" s="86" t="s">
        <v>46</v>
      </c>
      <c r="B85" s="44">
        <f>+E72</f>
        <v>0</v>
      </c>
      <c r="C85" s="44">
        <v>0</v>
      </c>
      <c r="D85" s="44">
        <v>0</v>
      </c>
      <c r="E85" s="44">
        <f>SUM(B85:C85)-D85</f>
        <v>0</v>
      </c>
      <c r="F85" s="44">
        <f>+I72</f>
        <v>0</v>
      </c>
      <c r="G85" s="44">
        <v>0</v>
      </c>
      <c r="H85" s="44">
        <v>0</v>
      </c>
      <c r="I85" s="44">
        <f>+F85+H85</f>
        <v>0</v>
      </c>
      <c r="J85" s="44">
        <f>+E85-H85</f>
        <v>0</v>
      </c>
    </row>
    <row r="86" spans="1:10" ht="15.5">
      <c r="A86" s="86"/>
      <c r="B86" s="45"/>
      <c r="C86" s="45"/>
      <c r="D86" s="45"/>
      <c r="E86" s="45"/>
      <c r="F86" s="45"/>
      <c r="G86" s="46"/>
      <c r="H86" s="44"/>
      <c r="I86" s="44"/>
      <c r="J86" s="44"/>
    </row>
    <row r="87" spans="1:10" ht="15.5">
      <c r="A87" s="86" t="s">
        <v>47</v>
      </c>
      <c r="B87" s="44">
        <f>+E74</f>
        <v>588.59999999999991</v>
      </c>
      <c r="C87" s="44">
        <v>0</v>
      </c>
      <c r="D87" s="44">
        <v>0</v>
      </c>
      <c r="E87" s="44">
        <f>SUM(B87:C87)-D87</f>
        <v>588.59999999999991</v>
      </c>
      <c r="F87" s="44">
        <f>+I74</f>
        <v>41.937741170999999</v>
      </c>
      <c r="G87" s="98">
        <v>3.1666659999999999E-2</v>
      </c>
      <c r="H87" s="44">
        <f>+E87*G87</f>
        <v>18.638996075999998</v>
      </c>
      <c r="I87" s="44">
        <f>+F87+H87</f>
        <v>60.576737246999997</v>
      </c>
      <c r="J87" s="44">
        <f>+E87-I87</f>
        <v>528.02326275299993</v>
      </c>
    </row>
    <row r="88" spans="1:10" ht="15.5">
      <c r="A88" s="86"/>
      <c r="B88" s="45"/>
      <c r="C88" s="45"/>
      <c r="D88" s="45"/>
      <c r="E88" s="45"/>
      <c r="F88" s="45"/>
      <c r="G88" s="46"/>
      <c r="H88" s="44"/>
      <c r="I88" s="44"/>
      <c r="J88" s="44"/>
    </row>
    <row r="89" spans="1:10" ht="15.5">
      <c r="A89" s="86" t="s">
        <v>36</v>
      </c>
      <c r="B89" s="44">
        <f>+E76</f>
        <v>0</v>
      </c>
      <c r="C89" s="44">
        <v>0</v>
      </c>
      <c r="D89" s="44">
        <v>0</v>
      </c>
      <c r="E89" s="44">
        <f t="shared" ref="E89:E93" si="12">SUM(B89:C89)-D89</f>
        <v>0</v>
      </c>
      <c r="F89" s="44">
        <f>+I76</f>
        <v>0</v>
      </c>
      <c r="G89" s="98">
        <v>9.5000000000000001E-2</v>
      </c>
      <c r="H89" s="44">
        <f>+E89*G89</f>
        <v>0</v>
      </c>
      <c r="I89" s="44">
        <f>+F89+H89</f>
        <v>0</v>
      </c>
      <c r="J89" s="44">
        <f>+E89-I89</f>
        <v>0</v>
      </c>
    </row>
    <row r="90" spans="1:10" ht="15.5">
      <c r="A90" s="86"/>
      <c r="B90" s="47"/>
      <c r="C90" s="47"/>
      <c r="D90" s="47"/>
      <c r="E90" s="44"/>
      <c r="F90" s="47"/>
      <c r="G90" s="48"/>
      <c r="H90" s="44"/>
      <c r="I90" s="44"/>
      <c r="J90" s="44"/>
    </row>
    <row r="91" spans="1:10" ht="15.5">
      <c r="A91" s="87" t="s">
        <v>37</v>
      </c>
      <c r="B91" s="44">
        <f>+E78</f>
        <v>408.15012568533331</v>
      </c>
      <c r="C91" s="44">
        <v>0</v>
      </c>
      <c r="D91" s="44">
        <v>0</v>
      </c>
      <c r="E91" s="44">
        <f t="shared" si="12"/>
        <v>408.15012568533331</v>
      </c>
      <c r="F91" s="44">
        <f>+I78</f>
        <v>91.833778279200004</v>
      </c>
      <c r="G91" s="99">
        <v>0.1</v>
      </c>
      <c r="H91" s="44">
        <f>+E91*G91</f>
        <v>40.815012568533334</v>
      </c>
      <c r="I91" s="44">
        <f>+F91+H91</f>
        <v>132.64879084773332</v>
      </c>
      <c r="J91" s="44">
        <f>+E91-I91</f>
        <v>275.50133483759998</v>
      </c>
    </row>
    <row r="92" spans="1:10" ht="15.5">
      <c r="A92" s="86"/>
      <c r="B92" s="44"/>
      <c r="C92" s="44"/>
      <c r="D92" s="44"/>
      <c r="E92" s="44"/>
      <c r="F92" s="44"/>
      <c r="G92" s="44"/>
      <c r="H92" s="44"/>
      <c r="I92" s="44"/>
      <c r="J92" s="44"/>
    </row>
    <row r="93" spans="1:10" ht="15.5">
      <c r="A93" s="86" t="s">
        <v>219</v>
      </c>
      <c r="B93" s="44">
        <f>+E80</f>
        <v>0</v>
      </c>
      <c r="C93" s="44">
        <v>0</v>
      </c>
      <c r="D93" s="44">
        <v>0</v>
      </c>
      <c r="E93" s="44">
        <f t="shared" si="12"/>
        <v>0</v>
      </c>
      <c r="F93" s="44">
        <f>+I80</f>
        <v>0</v>
      </c>
      <c r="G93" s="99">
        <v>0.15</v>
      </c>
      <c r="H93" s="44">
        <f>+E93*G93</f>
        <v>0</v>
      </c>
      <c r="I93" s="44">
        <f>+F93+H93</f>
        <v>0</v>
      </c>
      <c r="J93" s="44">
        <f>+E93-I93</f>
        <v>0</v>
      </c>
    </row>
    <row r="94" spans="1:10" ht="15.5">
      <c r="A94" s="86"/>
      <c r="B94" s="44"/>
      <c r="C94" s="44"/>
      <c r="D94" s="44"/>
      <c r="E94" s="44"/>
      <c r="F94" s="44"/>
      <c r="G94" s="44"/>
      <c r="H94" s="44"/>
      <c r="I94" s="44"/>
      <c r="J94" s="44"/>
    </row>
    <row r="95" spans="1:10" ht="16" thickBot="1">
      <c r="A95" s="411" t="s">
        <v>30</v>
      </c>
      <c r="B95" s="412">
        <f>+SUM(B85:B93)</f>
        <v>996.75012568533316</v>
      </c>
      <c r="C95" s="412">
        <f t="shared" ref="C95:J95" si="13">+SUM(C85:C93)</f>
        <v>0</v>
      </c>
      <c r="D95" s="412">
        <f t="shared" si="13"/>
        <v>0</v>
      </c>
      <c r="E95" s="412">
        <f t="shared" si="13"/>
        <v>996.75012568533316</v>
      </c>
      <c r="F95" s="412">
        <f t="shared" si="13"/>
        <v>133.7715194502</v>
      </c>
      <c r="G95" s="412">
        <f t="shared" si="13"/>
        <v>0.37666665999999999</v>
      </c>
      <c r="H95" s="412">
        <f t="shared" si="13"/>
        <v>59.454008644533332</v>
      </c>
      <c r="I95" s="412">
        <f t="shared" si="13"/>
        <v>193.22552809473331</v>
      </c>
      <c r="J95" s="412">
        <f t="shared" si="13"/>
        <v>803.52459759059991</v>
      </c>
    </row>
    <row r="96" spans="1:10" ht="19" thickBot="1">
      <c r="A96" s="603" t="s">
        <v>226</v>
      </c>
      <c r="B96" s="604"/>
      <c r="C96" s="604"/>
      <c r="D96" s="604"/>
      <c r="E96" s="604"/>
      <c r="F96" s="604"/>
      <c r="G96" s="604"/>
      <c r="H96" s="604"/>
      <c r="I96" s="604"/>
      <c r="J96" s="605"/>
    </row>
    <row r="97" spans="1:10" ht="15.5">
      <c r="A97" s="86"/>
      <c r="B97" s="43"/>
      <c r="C97" s="43"/>
      <c r="D97" s="43"/>
      <c r="E97" s="43"/>
      <c r="F97" s="43"/>
      <c r="G97" s="43"/>
      <c r="H97" s="43"/>
      <c r="I97" s="43"/>
      <c r="J97" s="43"/>
    </row>
    <row r="98" spans="1:10" ht="15.5">
      <c r="A98" s="86" t="s">
        <v>46</v>
      </c>
      <c r="B98" s="44">
        <f>+E85</f>
        <v>0</v>
      </c>
      <c r="C98" s="44">
        <v>0</v>
      </c>
      <c r="D98" s="44">
        <v>0</v>
      </c>
      <c r="E98" s="44">
        <f>SUM(B98:C98)-D98</f>
        <v>0</v>
      </c>
      <c r="F98" s="44">
        <f>+I85</f>
        <v>0</v>
      </c>
      <c r="G98" s="44">
        <v>0</v>
      </c>
      <c r="H98" s="44">
        <v>0</v>
      </c>
      <c r="I98" s="44">
        <f>+F98+H98</f>
        <v>0</v>
      </c>
      <c r="J98" s="44">
        <f>+E98-H98</f>
        <v>0</v>
      </c>
    </row>
    <row r="99" spans="1:10" ht="15.5">
      <c r="A99" s="86"/>
      <c r="B99" s="45"/>
      <c r="C99" s="45"/>
      <c r="D99" s="45"/>
      <c r="E99" s="45"/>
      <c r="F99" s="45"/>
      <c r="G99" s="46"/>
      <c r="H99" s="44"/>
      <c r="I99" s="44"/>
      <c r="J99" s="44"/>
    </row>
    <row r="100" spans="1:10" ht="15.5">
      <c r="A100" s="86" t="s">
        <v>47</v>
      </c>
      <c r="B100" s="44">
        <f>+E87</f>
        <v>588.59999999999991</v>
      </c>
      <c r="C100" s="44">
        <v>0</v>
      </c>
      <c r="D100" s="44">
        <v>0</v>
      </c>
      <c r="E100" s="44">
        <f>SUM(B100:C100)-D100</f>
        <v>588.59999999999991</v>
      </c>
      <c r="F100" s="44">
        <f>+I87</f>
        <v>60.576737246999997</v>
      </c>
      <c r="G100" s="98">
        <v>3.1666659999999999E-2</v>
      </c>
      <c r="H100" s="44">
        <f>+E100*G100</f>
        <v>18.638996075999998</v>
      </c>
      <c r="I100" s="44">
        <f>+F100+H100</f>
        <v>79.215733322999995</v>
      </c>
      <c r="J100" s="44">
        <f>+E100-I100</f>
        <v>509.38426667699991</v>
      </c>
    </row>
    <row r="101" spans="1:10" ht="15.5">
      <c r="A101" s="86"/>
      <c r="B101" s="45"/>
      <c r="C101" s="45"/>
      <c r="D101" s="45"/>
      <c r="E101" s="45"/>
      <c r="F101" s="45"/>
      <c r="G101" s="46"/>
      <c r="H101" s="44"/>
      <c r="I101" s="44"/>
      <c r="J101" s="44"/>
    </row>
    <row r="102" spans="1:10" ht="15.5">
      <c r="A102" s="86" t="s">
        <v>36</v>
      </c>
      <c r="B102" s="44">
        <f>+E89</f>
        <v>0</v>
      </c>
      <c r="C102" s="44">
        <v>0</v>
      </c>
      <c r="D102" s="44">
        <v>0</v>
      </c>
      <c r="E102" s="44">
        <f t="shared" ref="E102:E106" si="14">SUM(B102:C102)-D102</f>
        <v>0</v>
      </c>
      <c r="F102" s="44">
        <f>+I89</f>
        <v>0</v>
      </c>
      <c r="G102" s="98">
        <v>9.5000000000000001E-2</v>
      </c>
      <c r="H102" s="44">
        <f>+E102*G102</f>
        <v>0</v>
      </c>
      <c r="I102" s="44">
        <f>+F102+H102</f>
        <v>0</v>
      </c>
      <c r="J102" s="44">
        <f>+E102-I102</f>
        <v>0</v>
      </c>
    </row>
    <row r="103" spans="1:10" ht="15.5">
      <c r="A103" s="86"/>
      <c r="B103" s="47"/>
      <c r="C103" s="47"/>
      <c r="D103" s="47"/>
      <c r="E103" s="44"/>
      <c r="F103" s="47"/>
      <c r="G103" s="48"/>
      <c r="H103" s="44"/>
      <c r="I103" s="44"/>
      <c r="J103" s="44"/>
    </row>
    <row r="104" spans="1:10" ht="15.5">
      <c r="A104" s="87" t="s">
        <v>37</v>
      </c>
      <c r="B104" s="44">
        <f>+E91</f>
        <v>408.15012568533331</v>
      </c>
      <c r="C104" s="44">
        <v>0</v>
      </c>
      <c r="D104" s="44">
        <v>0</v>
      </c>
      <c r="E104" s="44">
        <f t="shared" si="14"/>
        <v>408.15012568533331</v>
      </c>
      <c r="F104" s="44">
        <f>+I91</f>
        <v>132.64879084773332</v>
      </c>
      <c r="G104" s="99">
        <v>0.1</v>
      </c>
      <c r="H104" s="44">
        <f>+E104*G104</f>
        <v>40.815012568533334</v>
      </c>
      <c r="I104" s="44">
        <f>+F104+H104</f>
        <v>173.46380341626667</v>
      </c>
      <c r="J104" s="44">
        <f>+E104-I104</f>
        <v>234.68632226906664</v>
      </c>
    </row>
    <row r="105" spans="1:10" ht="15.5">
      <c r="A105" s="86"/>
      <c r="B105" s="44"/>
      <c r="C105" s="44"/>
      <c r="D105" s="44"/>
      <c r="E105" s="44"/>
      <c r="F105" s="44"/>
      <c r="G105" s="44"/>
      <c r="H105" s="44"/>
      <c r="I105" s="44"/>
      <c r="J105" s="44"/>
    </row>
    <row r="106" spans="1:10" ht="15.5">
      <c r="A106" s="86" t="s">
        <v>219</v>
      </c>
      <c r="B106" s="44">
        <f>+E93</f>
        <v>0</v>
      </c>
      <c r="C106" s="44">
        <v>0</v>
      </c>
      <c r="D106" s="44">
        <v>0</v>
      </c>
      <c r="E106" s="44">
        <f t="shared" si="14"/>
        <v>0</v>
      </c>
      <c r="F106" s="44">
        <f>+I93</f>
        <v>0</v>
      </c>
      <c r="G106" s="99">
        <v>0.15</v>
      </c>
      <c r="H106" s="44">
        <f>+E106*G106</f>
        <v>0</v>
      </c>
      <c r="I106" s="44">
        <f>+F106+H106</f>
        <v>0</v>
      </c>
      <c r="J106" s="44">
        <f>+E106-I106</f>
        <v>0</v>
      </c>
    </row>
    <row r="107" spans="1:10" ht="15.5">
      <c r="A107" s="86"/>
      <c r="B107" s="44"/>
      <c r="C107" s="44"/>
      <c r="D107" s="44"/>
      <c r="E107" s="44"/>
      <c r="F107" s="44"/>
      <c r="G107" s="44"/>
      <c r="H107" s="44"/>
      <c r="I107" s="44"/>
      <c r="J107" s="44"/>
    </row>
    <row r="108" spans="1:10" ht="16" thickBot="1">
      <c r="A108" s="411" t="s">
        <v>30</v>
      </c>
      <c r="B108" s="412">
        <f>+SUM(B98:B106)</f>
        <v>996.75012568533316</v>
      </c>
      <c r="C108" s="412">
        <f t="shared" ref="C108:J108" si="15">+SUM(C98:C106)</f>
        <v>0</v>
      </c>
      <c r="D108" s="412">
        <f t="shared" si="15"/>
        <v>0</v>
      </c>
      <c r="E108" s="412">
        <f t="shared" si="15"/>
        <v>996.75012568533316</v>
      </c>
      <c r="F108" s="412">
        <f t="shared" si="15"/>
        <v>193.22552809473331</v>
      </c>
      <c r="G108" s="412">
        <f t="shared" si="15"/>
        <v>0.37666665999999999</v>
      </c>
      <c r="H108" s="412">
        <f t="shared" si="15"/>
        <v>59.454008644533332</v>
      </c>
      <c r="I108" s="412">
        <f t="shared" si="15"/>
        <v>252.67953673926667</v>
      </c>
      <c r="J108" s="412">
        <f t="shared" si="15"/>
        <v>744.07058894606655</v>
      </c>
    </row>
    <row r="109" spans="1:10" ht="19" thickBot="1">
      <c r="A109" s="603" t="s">
        <v>731</v>
      </c>
      <c r="B109" s="604"/>
      <c r="C109" s="604"/>
      <c r="D109" s="604"/>
      <c r="E109" s="604"/>
      <c r="F109" s="604"/>
      <c r="G109" s="604"/>
      <c r="H109" s="604"/>
      <c r="I109" s="604"/>
      <c r="J109" s="605"/>
    </row>
    <row r="110" spans="1:10" ht="15.5">
      <c r="A110" s="86"/>
      <c r="B110" s="43"/>
      <c r="C110" s="43"/>
      <c r="D110" s="43"/>
      <c r="E110" s="43"/>
      <c r="F110" s="43"/>
      <c r="G110" s="43"/>
      <c r="H110" s="43"/>
      <c r="I110" s="43"/>
      <c r="J110" s="43"/>
    </row>
    <row r="111" spans="1:10" ht="15.5">
      <c r="A111" s="86" t="s">
        <v>46</v>
      </c>
      <c r="B111" s="44">
        <f>+E98</f>
        <v>0</v>
      </c>
      <c r="C111" s="44">
        <v>0</v>
      </c>
      <c r="D111" s="44">
        <v>0</v>
      </c>
      <c r="E111" s="44">
        <f>SUM(B111:C111)-D111</f>
        <v>0</v>
      </c>
      <c r="F111" s="44">
        <f>+I98</f>
        <v>0</v>
      </c>
      <c r="G111" s="44">
        <v>0</v>
      </c>
      <c r="H111" s="44">
        <v>0</v>
      </c>
      <c r="I111" s="44">
        <f>+F111+H111</f>
        <v>0</v>
      </c>
      <c r="J111" s="44">
        <f>+E111-H111</f>
        <v>0</v>
      </c>
    </row>
    <row r="112" spans="1:10" ht="15.5">
      <c r="A112" s="86"/>
      <c r="B112" s="45"/>
      <c r="C112" s="45"/>
      <c r="D112" s="45"/>
      <c r="E112" s="45"/>
      <c r="F112" s="45"/>
      <c r="G112" s="46"/>
      <c r="H112" s="44"/>
      <c r="I112" s="44"/>
      <c r="J112" s="44"/>
    </row>
    <row r="113" spans="1:10" ht="15.5">
      <c r="A113" s="86" t="s">
        <v>47</v>
      </c>
      <c r="B113" s="44">
        <f>+E100</f>
        <v>588.59999999999991</v>
      </c>
      <c r="C113" s="44">
        <v>0</v>
      </c>
      <c r="D113" s="44">
        <v>0</v>
      </c>
      <c r="E113" s="44">
        <f>SUM(B113:C113)-D113</f>
        <v>588.59999999999991</v>
      </c>
      <c r="F113" s="44">
        <f>+I100</f>
        <v>79.215733322999995</v>
      </c>
      <c r="G113" s="98">
        <v>3.1666659999999999E-2</v>
      </c>
      <c r="H113" s="44">
        <f>+E113*G113</f>
        <v>18.638996075999998</v>
      </c>
      <c r="I113" s="44">
        <f>+F113+H113</f>
        <v>97.854729398999993</v>
      </c>
      <c r="J113" s="44">
        <f>+E113-I113</f>
        <v>490.7452706009999</v>
      </c>
    </row>
    <row r="114" spans="1:10" ht="15.5">
      <c r="A114" s="86"/>
      <c r="B114" s="45"/>
      <c r="C114" s="45"/>
      <c r="D114" s="45"/>
      <c r="E114" s="45"/>
      <c r="F114" s="45"/>
      <c r="G114" s="46"/>
      <c r="H114" s="44"/>
      <c r="I114" s="44"/>
      <c r="J114" s="44"/>
    </row>
    <row r="115" spans="1:10" ht="15.5">
      <c r="A115" s="86" t="s">
        <v>36</v>
      </c>
      <c r="B115" s="44">
        <f>+E102</f>
        <v>0</v>
      </c>
      <c r="C115" s="44">
        <v>0</v>
      </c>
      <c r="D115" s="44">
        <v>0</v>
      </c>
      <c r="E115" s="44">
        <f t="shared" ref="E115" si="16">SUM(B115:C115)-D115</f>
        <v>0</v>
      </c>
      <c r="F115" s="44">
        <f>+I102</f>
        <v>0</v>
      </c>
      <c r="G115" s="98">
        <v>9.5000000000000001E-2</v>
      </c>
      <c r="H115" s="44">
        <f>+E115*G115</f>
        <v>0</v>
      </c>
      <c r="I115" s="44">
        <f>+F115+H115</f>
        <v>0</v>
      </c>
      <c r="J115" s="44">
        <f>+E115-I115</f>
        <v>0</v>
      </c>
    </row>
    <row r="116" spans="1:10" ht="15.5">
      <c r="A116" s="86"/>
      <c r="B116" s="47"/>
      <c r="C116" s="47"/>
      <c r="D116" s="47"/>
      <c r="E116" s="44"/>
      <c r="F116" s="47"/>
      <c r="G116" s="48"/>
      <c r="H116" s="44"/>
      <c r="I116" s="44"/>
      <c r="J116" s="44"/>
    </row>
    <row r="117" spans="1:10" ht="15.5">
      <c r="A117" s="87" t="s">
        <v>37</v>
      </c>
      <c r="B117" s="44">
        <f>+E104</f>
        <v>408.15012568533331</v>
      </c>
      <c r="C117" s="44">
        <v>0</v>
      </c>
      <c r="D117" s="44">
        <v>0</v>
      </c>
      <c r="E117" s="44">
        <f t="shared" ref="E117" si="17">SUM(B117:C117)-D117</f>
        <v>408.15012568533331</v>
      </c>
      <c r="F117" s="44">
        <f>+I104</f>
        <v>173.46380341626667</v>
      </c>
      <c r="G117" s="99">
        <v>0.1</v>
      </c>
      <c r="H117" s="44">
        <f>+E117*G117</f>
        <v>40.815012568533334</v>
      </c>
      <c r="I117" s="44">
        <f>+F117+H117</f>
        <v>214.27881598480002</v>
      </c>
      <c r="J117" s="44">
        <f>+E117-I117</f>
        <v>193.87130970053329</v>
      </c>
    </row>
    <row r="118" spans="1:10" ht="15.5">
      <c r="A118" s="86"/>
      <c r="B118" s="44"/>
      <c r="C118" s="44"/>
      <c r="D118" s="44"/>
      <c r="E118" s="44"/>
      <c r="F118" s="44"/>
      <c r="G118" s="44"/>
      <c r="H118" s="44"/>
      <c r="I118" s="44"/>
      <c r="J118" s="44"/>
    </row>
    <row r="119" spans="1:10" ht="15.5">
      <c r="A119" s="86" t="s">
        <v>219</v>
      </c>
      <c r="B119" s="44">
        <f>+E106</f>
        <v>0</v>
      </c>
      <c r="C119" s="44">
        <v>0</v>
      </c>
      <c r="D119" s="44">
        <v>0</v>
      </c>
      <c r="E119" s="44">
        <f t="shared" ref="E119" si="18">SUM(B119:C119)-D119</f>
        <v>0</v>
      </c>
      <c r="F119" s="44">
        <f>+I106</f>
        <v>0</v>
      </c>
      <c r="G119" s="99">
        <v>0.15</v>
      </c>
      <c r="H119" s="44">
        <f>+E119*G119</f>
        <v>0</v>
      </c>
      <c r="I119" s="44">
        <f>+F119+H119</f>
        <v>0</v>
      </c>
      <c r="J119" s="44">
        <f>+E119-I119</f>
        <v>0</v>
      </c>
    </row>
    <row r="120" spans="1:10" ht="15.5">
      <c r="A120" s="86"/>
      <c r="B120" s="44"/>
      <c r="C120" s="44"/>
      <c r="D120" s="44"/>
      <c r="E120" s="44"/>
      <c r="F120" s="44"/>
      <c r="G120" s="44"/>
      <c r="H120" s="44"/>
      <c r="I120" s="44"/>
      <c r="J120" s="44"/>
    </row>
    <row r="121" spans="1:10" ht="16" thickBot="1">
      <c r="A121" s="411" t="s">
        <v>30</v>
      </c>
      <c r="B121" s="412">
        <f>+SUM(B111:B119)</f>
        <v>996.75012568533316</v>
      </c>
      <c r="C121" s="412">
        <f t="shared" ref="C121:J121" si="19">+SUM(C111:C119)</f>
        <v>0</v>
      </c>
      <c r="D121" s="412">
        <f t="shared" si="19"/>
        <v>0</v>
      </c>
      <c r="E121" s="412">
        <f t="shared" si="19"/>
        <v>996.75012568533316</v>
      </c>
      <c r="F121" s="412">
        <f t="shared" si="19"/>
        <v>252.67953673926667</v>
      </c>
      <c r="G121" s="412">
        <f t="shared" si="19"/>
        <v>0.37666665999999999</v>
      </c>
      <c r="H121" s="412">
        <f t="shared" si="19"/>
        <v>59.454008644533332</v>
      </c>
      <c r="I121" s="412">
        <f t="shared" si="19"/>
        <v>312.13354538380003</v>
      </c>
      <c r="J121" s="412">
        <f t="shared" si="19"/>
        <v>684.61658030153319</v>
      </c>
    </row>
    <row r="122" spans="1:10" ht="19" thickBot="1">
      <c r="A122" s="603" t="s">
        <v>732</v>
      </c>
      <c r="B122" s="604"/>
      <c r="C122" s="604"/>
      <c r="D122" s="604"/>
      <c r="E122" s="604"/>
      <c r="F122" s="604"/>
      <c r="G122" s="604"/>
      <c r="H122" s="604"/>
      <c r="I122" s="604"/>
      <c r="J122" s="605"/>
    </row>
    <row r="123" spans="1:10" ht="15.5">
      <c r="A123" s="86"/>
      <c r="B123" s="43"/>
      <c r="C123" s="43"/>
      <c r="D123" s="43"/>
      <c r="E123" s="43"/>
      <c r="F123" s="43"/>
      <c r="G123" s="43"/>
      <c r="H123" s="43"/>
      <c r="I123" s="43"/>
      <c r="J123" s="43"/>
    </row>
    <row r="124" spans="1:10" ht="15.5">
      <c r="A124" s="86" t="s">
        <v>46</v>
      </c>
      <c r="B124" s="44">
        <f>+E111</f>
        <v>0</v>
      </c>
      <c r="C124" s="44">
        <v>0</v>
      </c>
      <c r="D124" s="44">
        <v>0</v>
      </c>
      <c r="E124" s="44">
        <f>SUM(B124:C124)-D124</f>
        <v>0</v>
      </c>
      <c r="F124" s="44">
        <f>+I111</f>
        <v>0</v>
      </c>
      <c r="G124" s="44">
        <v>0</v>
      </c>
      <c r="H124" s="44">
        <v>0</v>
      </c>
      <c r="I124" s="44">
        <f>+F124+H124</f>
        <v>0</v>
      </c>
      <c r="J124" s="44">
        <f>+E124-H124</f>
        <v>0</v>
      </c>
    </row>
    <row r="125" spans="1:10" ht="15.5">
      <c r="A125" s="86"/>
      <c r="B125" s="45"/>
      <c r="C125" s="45"/>
      <c r="D125" s="45"/>
      <c r="E125" s="45"/>
      <c r="F125" s="45"/>
      <c r="G125" s="46"/>
      <c r="H125" s="44"/>
      <c r="I125" s="44"/>
      <c r="J125" s="44"/>
    </row>
    <row r="126" spans="1:10" ht="15.5">
      <c r="A126" s="86" t="s">
        <v>47</v>
      </c>
      <c r="B126" s="44">
        <f>+E113</f>
        <v>588.59999999999991</v>
      </c>
      <c r="C126" s="44">
        <v>0</v>
      </c>
      <c r="D126" s="44">
        <v>0</v>
      </c>
      <c r="E126" s="44">
        <f>SUM(B126:C126)-D126</f>
        <v>588.59999999999991</v>
      </c>
      <c r="F126" s="44">
        <f>+I113</f>
        <v>97.854729398999993</v>
      </c>
      <c r="G126" s="98">
        <v>3.1666659999999999E-2</v>
      </c>
      <c r="H126" s="44">
        <f>+E126*G126</f>
        <v>18.638996075999998</v>
      </c>
      <c r="I126" s="44">
        <f>+F126+H126</f>
        <v>116.49372547499999</v>
      </c>
      <c r="J126" s="44">
        <f>+E126-I126</f>
        <v>472.10627452499989</v>
      </c>
    </row>
    <row r="127" spans="1:10" ht="15.5">
      <c r="A127" s="86"/>
      <c r="B127" s="45"/>
      <c r="C127" s="45"/>
      <c r="D127" s="45"/>
      <c r="E127" s="45"/>
      <c r="F127" s="45"/>
      <c r="G127" s="46"/>
      <c r="H127" s="44"/>
      <c r="I127" s="44"/>
      <c r="J127" s="44"/>
    </row>
    <row r="128" spans="1:10" ht="15.5">
      <c r="A128" s="86" t="s">
        <v>36</v>
      </c>
      <c r="B128" s="44">
        <f>+E115</f>
        <v>0</v>
      </c>
      <c r="C128" s="44">
        <v>0</v>
      </c>
      <c r="D128" s="44">
        <v>0</v>
      </c>
      <c r="E128" s="44">
        <f t="shared" ref="E128" si="20">SUM(B128:C128)-D128</f>
        <v>0</v>
      </c>
      <c r="F128" s="44">
        <f>+I115</f>
        <v>0</v>
      </c>
      <c r="G128" s="98">
        <v>9.5000000000000001E-2</v>
      </c>
      <c r="H128" s="44">
        <f>+E128*G128</f>
        <v>0</v>
      </c>
      <c r="I128" s="44">
        <f>+F128+H128</f>
        <v>0</v>
      </c>
      <c r="J128" s="44">
        <f>+E128-I128</f>
        <v>0</v>
      </c>
    </row>
    <row r="129" spans="1:10" ht="15.5">
      <c r="A129" s="86"/>
      <c r="B129" s="47"/>
      <c r="C129" s="47"/>
      <c r="D129" s="47"/>
      <c r="E129" s="44"/>
      <c r="F129" s="47"/>
      <c r="G129" s="48"/>
      <c r="H129" s="44"/>
      <c r="I129" s="44"/>
      <c r="J129" s="44"/>
    </row>
    <row r="130" spans="1:10" ht="15.5">
      <c r="A130" s="87" t="s">
        <v>37</v>
      </c>
      <c r="B130" s="44">
        <f>+E117</f>
        <v>408.15012568533331</v>
      </c>
      <c r="C130" s="44">
        <v>0</v>
      </c>
      <c r="D130" s="44">
        <v>0</v>
      </c>
      <c r="E130" s="44">
        <f t="shared" ref="E130" si="21">SUM(B130:C130)-D130</f>
        <v>408.15012568533331</v>
      </c>
      <c r="F130" s="44">
        <f>+I117</f>
        <v>214.27881598480002</v>
      </c>
      <c r="G130" s="99">
        <v>0.1</v>
      </c>
      <c r="H130" s="44">
        <f>+E130*G130</f>
        <v>40.815012568533334</v>
      </c>
      <c r="I130" s="44">
        <f>+F130+H130</f>
        <v>255.09382855333337</v>
      </c>
      <c r="J130" s="44">
        <f>+E130-I130</f>
        <v>153.05629713199994</v>
      </c>
    </row>
    <row r="131" spans="1:10" ht="15.5">
      <c r="A131" s="86"/>
      <c r="B131" s="44"/>
      <c r="C131" s="44"/>
      <c r="D131" s="44"/>
      <c r="E131" s="44"/>
      <c r="F131" s="44"/>
      <c r="G131" s="44"/>
      <c r="H131" s="44"/>
      <c r="I131" s="44"/>
      <c r="J131" s="44"/>
    </row>
    <row r="132" spans="1:10" ht="15.5">
      <c r="A132" s="86" t="s">
        <v>219</v>
      </c>
      <c r="B132" s="44">
        <f>+E119</f>
        <v>0</v>
      </c>
      <c r="C132" s="44">
        <v>0</v>
      </c>
      <c r="D132" s="44">
        <v>0</v>
      </c>
      <c r="E132" s="44">
        <f t="shared" ref="E132" si="22">SUM(B132:C132)-D132</f>
        <v>0</v>
      </c>
      <c r="F132" s="44">
        <f>+I119</f>
        <v>0</v>
      </c>
      <c r="G132" s="99">
        <v>0.15</v>
      </c>
      <c r="H132" s="44">
        <f>+E132*G132</f>
        <v>0</v>
      </c>
      <c r="I132" s="44">
        <f>+F132+H132</f>
        <v>0</v>
      </c>
      <c r="J132" s="44">
        <f>+E132-I132</f>
        <v>0</v>
      </c>
    </row>
    <row r="133" spans="1:10" ht="15.5">
      <c r="A133" s="86"/>
      <c r="B133" s="44"/>
      <c r="C133" s="44"/>
      <c r="D133" s="44"/>
      <c r="E133" s="44"/>
      <c r="F133" s="44"/>
      <c r="G133" s="44"/>
      <c r="H133" s="44"/>
      <c r="I133" s="44"/>
      <c r="J133" s="44"/>
    </row>
    <row r="134" spans="1:10" ht="16" thickBot="1">
      <c r="A134" s="411" t="s">
        <v>30</v>
      </c>
      <c r="B134" s="412">
        <f>+SUM(B124:B132)</f>
        <v>996.75012568533316</v>
      </c>
      <c r="C134" s="412">
        <f t="shared" ref="C134:J134" si="23">+SUM(C124:C132)</f>
        <v>0</v>
      </c>
      <c r="D134" s="412">
        <f t="shared" si="23"/>
        <v>0</v>
      </c>
      <c r="E134" s="412">
        <f t="shared" si="23"/>
        <v>996.75012568533316</v>
      </c>
      <c r="F134" s="412">
        <f t="shared" si="23"/>
        <v>312.13354538380003</v>
      </c>
      <c r="G134" s="412">
        <f t="shared" si="23"/>
        <v>0.37666665999999999</v>
      </c>
      <c r="H134" s="412">
        <f t="shared" si="23"/>
        <v>59.454008644533332</v>
      </c>
      <c r="I134" s="412">
        <f t="shared" si="23"/>
        <v>371.58755402833333</v>
      </c>
      <c r="J134" s="412">
        <f t="shared" si="23"/>
        <v>625.16257165699983</v>
      </c>
    </row>
  </sheetData>
  <mergeCells count="18">
    <mergeCell ref="A57:J57"/>
    <mergeCell ref="A1:J1"/>
    <mergeCell ref="H2:J2"/>
    <mergeCell ref="B3:B4"/>
    <mergeCell ref="E3:E4"/>
    <mergeCell ref="F3:F4"/>
    <mergeCell ref="H3:H4"/>
    <mergeCell ref="I3:I4"/>
    <mergeCell ref="K3:K4"/>
    <mergeCell ref="A5:J5"/>
    <mergeCell ref="A18:J18"/>
    <mergeCell ref="A31:J31"/>
    <mergeCell ref="A44:J44"/>
    <mergeCell ref="A109:J109"/>
    <mergeCell ref="A122:J122"/>
    <mergeCell ref="A70:J70"/>
    <mergeCell ref="A83:J83"/>
    <mergeCell ref="A96:J96"/>
  </mergeCells>
  <pageMargins left="0.7" right="0.7" top="0.75" bottom="0.75" header="0.3" footer="0.3"/>
  <pageSetup paperSize="9" scale="59" orientation="landscape" r:id="rId1"/>
  <headerFooter>
    <oddHeader>&amp;C&amp;"Book Antiqua,Bold"&amp;13</oddHeader>
    <oddFooter>&amp;C&amp;"-,Bold"&amp;12Prepared by JNR Corporate Advisory Services Private Limited, Contact details: jnr4india@gmail.com, +918602267779, +918962611446</oddFooter>
  </headerFooter>
  <rowBreaks count="3" manualBreakCount="3">
    <brk id="43" max="9" man="1"/>
    <brk id="82" max="9" man="1"/>
    <brk id="134" max="9"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EA5FA-8D77-4589-B5B8-3E0A0F9FE1FC}">
  <sheetPr>
    <tabColor rgb="FF92D050"/>
    <pageSetUpPr fitToPage="1"/>
  </sheetPr>
  <dimension ref="B1:N52"/>
  <sheetViews>
    <sheetView showGridLines="0" view="pageBreakPreview" zoomScaleSheetLayoutView="100" workbookViewId="0">
      <selection activeCell="M11" sqref="M11"/>
    </sheetView>
  </sheetViews>
  <sheetFormatPr defaultColWidth="9.1796875" defaultRowHeight="14.5"/>
  <cols>
    <col min="1" max="1" width="3" style="164" customWidth="1"/>
    <col min="2" max="2" width="8.1796875" style="164" customWidth="1"/>
    <col min="3" max="3" width="29.7265625" style="164" customWidth="1"/>
    <col min="4" max="4" width="7.81640625" style="164" customWidth="1"/>
    <col min="5" max="5" width="13" style="164" customWidth="1"/>
    <col min="6" max="6" width="12.81640625" style="164" hidden="1" customWidth="1"/>
    <col min="7" max="7" width="12.453125" style="164" hidden="1" customWidth="1"/>
    <col min="8" max="8" width="12.1796875" style="164" customWidth="1"/>
    <col min="9" max="9" width="12.81640625" style="164" customWidth="1"/>
    <col min="10" max="10" width="12.54296875" style="164" customWidth="1"/>
    <col min="11" max="11" width="13" style="164" customWidth="1"/>
    <col min="12" max="12" width="12.7265625" style="164" customWidth="1"/>
    <col min="13" max="14" width="12" style="164" customWidth="1"/>
    <col min="15" max="16384" width="9.1796875" style="164"/>
  </cols>
  <sheetData>
    <row r="1" spans="2:14">
      <c r="B1" s="160" t="s">
        <v>227</v>
      </c>
      <c r="C1" s="161"/>
      <c r="D1" s="161"/>
      <c r="E1" s="162"/>
      <c r="F1" s="163"/>
      <c r="G1" s="163"/>
      <c r="H1" s="163"/>
      <c r="I1" s="163"/>
      <c r="J1" s="163"/>
      <c r="K1" s="163"/>
    </row>
    <row r="2" spans="2:14" ht="15" thickBot="1">
      <c r="B2" s="161"/>
      <c r="C2" s="161"/>
      <c r="D2" s="161"/>
      <c r="E2" s="162"/>
      <c r="F2" s="163"/>
      <c r="G2" s="163"/>
      <c r="H2" s="163"/>
      <c r="I2" s="163"/>
      <c r="J2" s="163"/>
      <c r="K2" s="163"/>
    </row>
    <row r="3" spans="2:14">
      <c r="B3" s="165" t="s">
        <v>115</v>
      </c>
      <c r="C3" s="166"/>
      <c r="D3" s="166"/>
      <c r="E3" s="167"/>
      <c r="F3" s="168"/>
      <c r="G3" s="168"/>
      <c r="H3" s="168"/>
      <c r="I3" s="168"/>
      <c r="J3" s="168"/>
      <c r="K3" s="169"/>
      <c r="L3" s="170"/>
      <c r="M3" s="171"/>
      <c r="N3" s="171"/>
    </row>
    <row r="4" spans="2:14">
      <c r="B4" s="172"/>
      <c r="C4" s="173"/>
      <c r="D4" s="173"/>
      <c r="E4" s="174"/>
      <c r="F4" s="163"/>
      <c r="G4" s="163"/>
      <c r="H4" s="163"/>
      <c r="I4" s="163"/>
      <c r="J4" s="163"/>
      <c r="K4" s="163"/>
      <c r="M4" s="175"/>
      <c r="N4" s="175"/>
    </row>
    <row r="5" spans="2:14" ht="64.5" customHeight="1">
      <c r="B5" s="613" t="s">
        <v>116</v>
      </c>
      <c r="C5" s="614"/>
      <c r="D5" s="614"/>
      <c r="E5" s="614"/>
      <c r="F5" s="614"/>
      <c r="G5" s="614"/>
      <c r="H5" s="614"/>
      <c r="I5" s="614"/>
      <c r="J5" s="614"/>
      <c r="K5" s="614"/>
      <c r="L5" s="614"/>
      <c r="M5" s="175"/>
      <c r="N5" s="175"/>
    </row>
    <row r="6" spans="2:14">
      <c r="B6" s="176"/>
      <c r="C6" s="177"/>
      <c r="D6" s="177"/>
      <c r="E6" s="174"/>
      <c r="F6" s="163"/>
      <c r="G6" s="163"/>
      <c r="H6" s="163"/>
      <c r="I6" s="163"/>
      <c r="J6" s="163"/>
      <c r="K6" s="163"/>
      <c r="M6" s="175"/>
      <c r="N6" s="175"/>
    </row>
    <row r="7" spans="2:14" ht="30.75" customHeight="1">
      <c r="B7" s="613" t="s">
        <v>117</v>
      </c>
      <c r="C7" s="614"/>
      <c r="D7" s="614"/>
      <c r="E7" s="614"/>
      <c r="F7" s="614"/>
      <c r="G7" s="614"/>
      <c r="H7" s="614"/>
      <c r="I7" s="614"/>
      <c r="J7" s="614"/>
      <c r="K7" s="614"/>
      <c r="L7" s="614"/>
      <c r="M7" s="175"/>
      <c r="N7" s="175"/>
    </row>
    <row r="8" spans="2:14">
      <c r="B8" s="178"/>
      <c r="C8" s="173"/>
      <c r="D8" s="173"/>
      <c r="E8" s="174"/>
      <c r="F8" s="163"/>
      <c r="G8" s="163"/>
      <c r="H8" s="163"/>
      <c r="I8" s="163"/>
      <c r="J8" s="163"/>
      <c r="K8" s="163"/>
      <c r="M8" s="175"/>
      <c r="N8" s="175"/>
    </row>
    <row r="9" spans="2:14" ht="15" thickBot="1">
      <c r="B9" s="179" t="s">
        <v>118</v>
      </c>
      <c r="C9" s="173"/>
      <c r="D9" s="173"/>
      <c r="E9" s="174"/>
      <c r="F9" s="180"/>
      <c r="G9" s="180"/>
      <c r="H9" s="163"/>
      <c r="I9" s="163"/>
      <c r="J9" s="163"/>
      <c r="K9" s="181"/>
      <c r="L9" s="182"/>
      <c r="M9" s="183" t="s">
        <v>16</v>
      </c>
      <c r="N9" s="183"/>
    </row>
    <row r="10" spans="2:14">
      <c r="B10" s="414" t="s">
        <v>119</v>
      </c>
      <c r="C10" s="415" t="s">
        <v>1</v>
      </c>
      <c r="D10" s="416" t="s">
        <v>97</v>
      </c>
      <c r="E10" s="417" t="s">
        <v>55</v>
      </c>
      <c r="F10" s="418" t="s">
        <v>20</v>
      </c>
      <c r="G10" s="418" t="s">
        <v>21</v>
      </c>
      <c r="H10" s="418" t="s">
        <v>27</v>
      </c>
      <c r="I10" s="418" t="s">
        <v>28</v>
      </c>
      <c r="J10" s="418" t="s">
        <v>57</v>
      </c>
      <c r="K10" s="418" t="s">
        <v>138</v>
      </c>
      <c r="L10" s="418" t="s">
        <v>225</v>
      </c>
      <c r="M10" s="418" t="s">
        <v>729</v>
      </c>
      <c r="N10" s="418" t="s">
        <v>730</v>
      </c>
    </row>
    <row r="11" spans="2:14">
      <c r="B11" s="419"/>
      <c r="C11" s="420"/>
      <c r="D11" s="421"/>
      <c r="E11" s="422"/>
      <c r="F11" s="418">
        <v>3</v>
      </c>
      <c r="G11" s="418">
        <v>0</v>
      </c>
      <c r="H11" s="418">
        <v>3</v>
      </c>
      <c r="I11" s="418">
        <v>12</v>
      </c>
      <c r="J11" s="418">
        <v>12</v>
      </c>
      <c r="K11" s="418">
        <v>12</v>
      </c>
      <c r="L11" s="418">
        <v>12</v>
      </c>
      <c r="M11" s="418">
        <v>12</v>
      </c>
      <c r="N11" s="418">
        <v>12</v>
      </c>
    </row>
    <row r="12" spans="2:14" ht="15" thickBot="1">
      <c r="B12" s="423"/>
      <c r="C12" s="424"/>
      <c r="D12" s="425"/>
      <c r="E12" s="426"/>
      <c r="F12" s="427" t="s">
        <v>208</v>
      </c>
      <c r="G12" s="427" t="s">
        <v>208</v>
      </c>
      <c r="H12" s="427" t="s">
        <v>208</v>
      </c>
      <c r="I12" s="427" t="s">
        <v>208</v>
      </c>
      <c r="J12" s="427" t="s">
        <v>208</v>
      </c>
      <c r="K12" s="427" t="s">
        <v>208</v>
      </c>
      <c r="L12" s="427" t="s">
        <v>208</v>
      </c>
      <c r="M12" s="427" t="s">
        <v>208</v>
      </c>
      <c r="N12" s="427" t="s">
        <v>208</v>
      </c>
    </row>
    <row r="13" spans="2:14">
      <c r="B13" s="178"/>
      <c r="C13" s="173"/>
      <c r="D13" s="161"/>
      <c r="E13" s="162"/>
      <c r="F13" s="163"/>
      <c r="G13" s="163"/>
      <c r="H13" s="163"/>
      <c r="I13" s="163"/>
      <c r="J13" s="163"/>
      <c r="K13" s="163"/>
    </row>
    <row r="14" spans="2:14">
      <c r="B14" s="184">
        <v>1</v>
      </c>
      <c r="C14" s="161" t="s">
        <v>207</v>
      </c>
      <c r="D14" s="185">
        <v>8</v>
      </c>
      <c r="E14" s="186">
        <v>12000</v>
      </c>
      <c r="F14" s="163">
        <f>((D14*E14)*$F$11)/10^5</f>
        <v>2.88</v>
      </c>
      <c r="G14" s="163">
        <f t="shared" ref="G14:G19" si="0">F14*$G$11/$F$11*100%/2</f>
        <v>0</v>
      </c>
      <c r="H14" s="163">
        <f>+E14*D14*$H$11/10^5</f>
        <v>2.88</v>
      </c>
      <c r="I14" s="163">
        <f>+H14/$H$11*$I$11</f>
        <v>11.52</v>
      </c>
      <c r="J14" s="163">
        <f>+I14</f>
        <v>11.52</v>
      </c>
      <c r="K14" s="163">
        <f t="shared" ref="K14:L14" si="1">+J14</f>
        <v>11.52</v>
      </c>
      <c r="L14" s="163">
        <f t="shared" si="1"/>
        <v>11.52</v>
      </c>
      <c r="M14" s="163">
        <f t="shared" ref="M14:M19" si="2">+L14</f>
        <v>11.52</v>
      </c>
      <c r="N14" s="163">
        <f t="shared" ref="N14:N19" si="3">+M14</f>
        <v>11.52</v>
      </c>
    </row>
    <row r="15" spans="2:14">
      <c r="B15" s="184">
        <f>B14+1</f>
        <v>2</v>
      </c>
      <c r="C15" s="161" t="s">
        <v>284</v>
      </c>
      <c r="D15" s="185">
        <v>60</v>
      </c>
      <c r="E15" s="186">
        <v>8000</v>
      </c>
      <c r="F15" s="163">
        <f>((D15*E15)*$F$11)/10^5</f>
        <v>14.4</v>
      </c>
      <c r="G15" s="163">
        <f t="shared" si="0"/>
        <v>0</v>
      </c>
      <c r="H15" s="163">
        <f t="shared" ref="H15:H19" si="4">+E15*D15*$H$11/10^5</f>
        <v>14.4</v>
      </c>
      <c r="I15" s="163">
        <f t="shared" ref="I15:I19" si="5">+H15/$H$11*$I$11</f>
        <v>57.599999999999994</v>
      </c>
      <c r="J15" s="163">
        <f t="shared" ref="J15:L19" si="6">+I15</f>
        <v>57.599999999999994</v>
      </c>
      <c r="K15" s="163">
        <f t="shared" si="6"/>
        <v>57.599999999999994</v>
      </c>
      <c r="L15" s="163">
        <f t="shared" si="6"/>
        <v>57.599999999999994</v>
      </c>
      <c r="M15" s="163">
        <f t="shared" si="2"/>
        <v>57.599999999999994</v>
      </c>
      <c r="N15" s="163">
        <f t="shared" si="3"/>
        <v>57.599999999999994</v>
      </c>
    </row>
    <row r="16" spans="2:14">
      <c r="B16" s="184">
        <v>3</v>
      </c>
      <c r="C16" s="161" t="s">
        <v>285</v>
      </c>
      <c r="D16" s="185">
        <v>1</v>
      </c>
      <c r="E16" s="186">
        <v>15000</v>
      </c>
      <c r="F16" s="163">
        <f>((D16*E16)*$F$11)/10^5</f>
        <v>0.45</v>
      </c>
      <c r="G16" s="163">
        <f t="shared" si="0"/>
        <v>0</v>
      </c>
      <c r="H16" s="163">
        <f t="shared" si="4"/>
        <v>0.45</v>
      </c>
      <c r="I16" s="163">
        <f t="shared" si="5"/>
        <v>1.7999999999999998</v>
      </c>
      <c r="J16" s="163">
        <f t="shared" si="6"/>
        <v>1.7999999999999998</v>
      </c>
      <c r="K16" s="163">
        <f t="shared" si="6"/>
        <v>1.7999999999999998</v>
      </c>
      <c r="L16" s="163">
        <f t="shared" si="6"/>
        <v>1.7999999999999998</v>
      </c>
      <c r="M16" s="163">
        <f t="shared" si="2"/>
        <v>1.7999999999999998</v>
      </c>
      <c r="N16" s="163">
        <f t="shared" si="3"/>
        <v>1.7999999999999998</v>
      </c>
    </row>
    <row r="17" spans="2:14">
      <c r="B17" s="184">
        <v>4</v>
      </c>
      <c r="C17" s="161" t="s">
        <v>209</v>
      </c>
      <c r="D17" s="185">
        <v>1</v>
      </c>
      <c r="E17" s="186">
        <v>10000</v>
      </c>
      <c r="F17" s="163">
        <f t="shared" ref="F17:F19" si="7">((D17*E17)*$F$11)/10^5</f>
        <v>0.3</v>
      </c>
      <c r="G17" s="163">
        <f t="shared" si="0"/>
        <v>0</v>
      </c>
      <c r="H17" s="163">
        <f t="shared" si="4"/>
        <v>0.3</v>
      </c>
      <c r="I17" s="163">
        <f t="shared" si="5"/>
        <v>1.2</v>
      </c>
      <c r="J17" s="163">
        <f t="shared" si="6"/>
        <v>1.2</v>
      </c>
      <c r="K17" s="163">
        <f t="shared" si="6"/>
        <v>1.2</v>
      </c>
      <c r="L17" s="163">
        <f t="shared" si="6"/>
        <v>1.2</v>
      </c>
      <c r="M17" s="163">
        <f t="shared" si="2"/>
        <v>1.2</v>
      </c>
      <c r="N17" s="163">
        <f t="shared" si="3"/>
        <v>1.2</v>
      </c>
    </row>
    <row r="18" spans="2:14">
      <c r="B18" s="184">
        <v>5</v>
      </c>
      <c r="C18" s="161" t="s">
        <v>210</v>
      </c>
      <c r="D18" s="185">
        <v>1</v>
      </c>
      <c r="E18" s="186">
        <v>15000</v>
      </c>
      <c r="F18" s="163">
        <f t="shared" si="7"/>
        <v>0.45</v>
      </c>
      <c r="G18" s="163">
        <f t="shared" si="0"/>
        <v>0</v>
      </c>
      <c r="H18" s="163">
        <f t="shared" si="4"/>
        <v>0.45</v>
      </c>
      <c r="I18" s="163">
        <f t="shared" si="5"/>
        <v>1.7999999999999998</v>
      </c>
      <c r="J18" s="163">
        <f t="shared" si="6"/>
        <v>1.7999999999999998</v>
      </c>
      <c r="K18" s="163">
        <f t="shared" si="6"/>
        <v>1.7999999999999998</v>
      </c>
      <c r="L18" s="163">
        <f t="shared" si="6"/>
        <v>1.7999999999999998</v>
      </c>
      <c r="M18" s="163">
        <f t="shared" si="2"/>
        <v>1.7999999999999998</v>
      </c>
      <c r="N18" s="163">
        <f t="shared" si="3"/>
        <v>1.7999999999999998</v>
      </c>
    </row>
    <row r="19" spans="2:14">
      <c r="B19" s="184">
        <v>6</v>
      </c>
      <c r="C19" s="161" t="s">
        <v>120</v>
      </c>
      <c r="D19" s="185">
        <v>0</v>
      </c>
      <c r="E19" s="186">
        <v>8000</v>
      </c>
      <c r="F19" s="163">
        <f t="shared" si="7"/>
        <v>0</v>
      </c>
      <c r="G19" s="163">
        <f t="shared" si="0"/>
        <v>0</v>
      </c>
      <c r="H19" s="163">
        <f t="shared" si="4"/>
        <v>0</v>
      </c>
      <c r="I19" s="163">
        <f t="shared" si="5"/>
        <v>0</v>
      </c>
      <c r="J19" s="163">
        <f t="shared" si="6"/>
        <v>0</v>
      </c>
      <c r="K19" s="163">
        <f t="shared" si="6"/>
        <v>0</v>
      </c>
      <c r="L19" s="163">
        <f t="shared" si="6"/>
        <v>0</v>
      </c>
      <c r="M19" s="163">
        <f t="shared" si="2"/>
        <v>0</v>
      </c>
      <c r="N19" s="163">
        <f t="shared" si="3"/>
        <v>0</v>
      </c>
    </row>
    <row r="20" spans="2:14">
      <c r="B20" s="184"/>
      <c r="C20" s="161" t="s">
        <v>121</v>
      </c>
      <c r="D20" s="188">
        <f>SUM(D14:D19)</f>
        <v>71</v>
      </c>
      <c r="E20" s="189"/>
      <c r="F20" s="190">
        <f t="shared" ref="F20:L20" si="8">SUM(F14:F19)</f>
        <v>18.48</v>
      </c>
      <c r="G20" s="190">
        <f t="shared" si="8"/>
        <v>0</v>
      </c>
      <c r="H20" s="190">
        <f t="shared" si="8"/>
        <v>18.48</v>
      </c>
      <c r="I20" s="190">
        <f t="shared" si="8"/>
        <v>73.919999999999987</v>
      </c>
      <c r="J20" s="190">
        <f t="shared" si="8"/>
        <v>73.919999999999987</v>
      </c>
      <c r="K20" s="190">
        <f t="shared" si="8"/>
        <v>73.919999999999987</v>
      </c>
      <c r="L20" s="190">
        <f t="shared" si="8"/>
        <v>73.919999999999987</v>
      </c>
      <c r="M20" s="190">
        <f t="shared" ref="M20:N20" si="9">SUM(M14:M19)</f>
        <v>73.919999999999987</v>
      </c>
      <c r="N20" s="190">
        <f t="shared" si="9"/>
        <v>73.919999999999987</v>
      </c>
    </row>
    <row r="21" spans="2:14">
      <c r="B21" s="184"/>
      <c r="C21" s="191"/>
      <c r="D21" s="162"/>
      <c r="E21" s="162"/>
      <c r="F21" s="163"/>
      <c r="G21" s="163"/>
      <c r="H21" s="163"/>
      <c r="I21" s="163"/>
      <c r="J21" s="163"/>
      <c r="K21" s="163"/>
      <c r="L21" s="163"/>
      <c r="M21" s="163"/>
      <c r="N21" s="163"/>
    </row>
    <row r="22" spans="2:14">
      <c r="B22" s="184"/>
      <c r="C22" s="161" t="s">
        <v>122</v>
      </c>
      <c r="D22" s="162"/>
      <c r="E22" s="162"/>
      <c r="F22" s="163">
        <f t="shared" ref="F22:L22" si="10">F20*20%</f>
        <v>3.6960000000000002</v>
      </c>
      <c r="G22" s="163">
        <f>G20*20%</f>
        <v>0</v>
      </c>
      <c r="H22" s="163">
        <f t="shared" si="10"/>
        <v>3.6960000000000002</v>
      </c>
      <c r="I22" s="163">
        <f>I20*20%</f>
        <v>14.783999999999999</v>
      </c>
      <c r="J22" s="163">
        <f t="shared" si="10"/>
        <v>14.783999999999999</v>
      </c>
      <c r="K22" s="163">
        <f t="shared" si="10"/>
        <v>14.783999999999999</v>
      </c>
      <c r="L22" s="163">
        <f t="shared" si="10"/>
        <v>14.783999999999999</v>
      </c>
      <c r="M22" s="163">
        <f t="shared" ref="M22:N22" si="11">M20*20%</f>
        <v>14.783999999999999</v>
      </c>
      <c r="N22" s="163">
        <f t="shared" si="11"/>
        <v>14.783999999999999</v>
      </c>
    </row>
    <row r="23" spans="2:14" ht="15" thickBot="1">
      <c r="B23" s="184"/>
      <c r="C23" s="177"/>
      <c r="D23" s="162"/>
      <c r="E23" s="162"/>
      <c r="F23" s="163"/>
      <c r="G23" s="163"/>
      <c r="H23" s="163"/>
      <c r="I23" s="163"/>
      <c r="J23" s="163"/>
      <c r="K23" s="163"/>
      <c r="L23" s="163"/>
      <c r="M23" s="163"/>
      <c r="N23" s="163"/>
    </row>
    <row r="24" spans="2:14" s="192" customFormat="1" ht="15" thickBot="1">
      <c r="B24" s="428"/>
      <c r="C24" s="429" t="s">
        <v>30</v>
      </c>
      <c r="D24" s="430">
        <f>D20</f>
        <v>71</v>
      </c>
      <c r="E24" s="431"/>
      <c r="F24" s="432">
        <f t="shared" ref="F24:L24" si="12">(F20+F22)</f>
        <v>22.176000000000002</v>
      </c>
      <c r="G24" s="432">
        <f t="shared" si="12"/>
        <v>0</v>
      </c>
      <c r="H24" s="432">
        <f t="shared" si="12"/>
        <v>22.176000000000002</v>
      </c>
      <c r="I24" s="432">
        <f t="shared" si="12"/>
        <v>88.703999999999979</v>
      </c>
      <c r="J24" s="432">
        <f t="shared" si="12"/>
        <v>88.703999999999979</v>
      </c>
      <c r="K24" s="432">
        <f t="shared" si="12"/>
        <v>88.703999999999979</v>
      </c>
      <c r="L24" s="433">
        <f t="shared" si="12"/>
        <v>88.703999999999979</v>
      </c>
      <c r="M24" s="433">
        <f t="shared" ref="M24:N24" si="13">(M20+M22)</f>
        <v>88.703999999999979</v>
      </c>
      <c r="N24" s="433">
        <f t="shared" si="13"/>
        <v>88.703999999999979</v>
      </c>
    </row>
    <row r="25" spans="2:14">
      <c r="B25" s="193"/>
      <c r="C25" s="161"/>
      <c r="D25" s="161"/>
      <c r="E25" s="162"/>
      <c r="F25" s="163"/>
      <c r="G25" s="163"/>
      <c r="H25" s="163"/>
      <c r="I25" s="163"/>
      <c r="J25" s="163"/>
      <c r="K25" s="163"/>
      <c r="M25" s="175"/>
      <c r="N25" s="175"/>
    </row>
    <row r="26" spans="2:14" ht="15" thickBot="1">
      <c r="B26" s="194"/>
      <c r="C26" s="195"/>
      <c r="D26" s="195"/>
      <c r="E26" s="196"/>
      <c r="F26" s="197"/>
      <c r="G26" s="197"/>
      <c r="H26" s="197"/>
      <c r="I26" s="197"/>
      <c r="J26" s="197"/>
      <c r="K26" s="197"/>
      <c r="L26" s="198"/>
      <c r="M26" s="199"/>
      <c r="N26" s="199"/>
    </row>
    <row r="27" spans="2:14">
      <c r="B27" s="163"/>
      <c r="C27" s="173"/>
      <c r="D27" s="162"/>
      <c r="E27" s="162"/>
      <c r="F27" s="163"/>
      <c r="G27" s="163"/>
      <c r="H27" s="163"/>
      <c r="I27" s="163"/>
      <c r="J27" s="163"/>
      <c r="K27" s="163"/>
    </row>
    <row r="28" spans="2:14">
      <c r="B28" s="200"/>
      <c r="C28" s="173"/>
      <c r="D28" s="162"/>
      <c r="E28" s="162"/>
      <c r="F28" s="163"/>
      <c r="G28" s="163"/>
      <c r="H28" s="163"/>
      <c r="I28" s="163"/>
      <c r="J28" s="163"/>
      <c r="K28" s="163"/>
    </row>
    <row r="29" spans="2:14">
      <c r="B29" s="200"/>
      <c r="C29" s="173"/>
      <c r="D29" s="162"/>
      <c r="E29" s="162"/>
      <c r="F29" s="163"/>
      <c r="G29" s="163"/>
      <c r="H29" s="163"/>
      <c r="I29" s="163"/>
      <c r="J29" s="163"/>
      <c r="K29" s="163"/>
    </row>
    <row r="30" spans="2:14">
      <c r="B30" s="200"/>
      <c r="C30" s="173"/>
      <c r="D30" s="162"/>
      <c r="E30" s="162"/>
      <c r="F30" s="163"/>
      <c r="G30" s="163"/>
      <c r="H30" s="163"/>
      <c r="I30" s="163"/>
      <c r="J30" s="163"/>
      <c r="K30" s="163"/>
    </row>
    <row r="31" spans="2:14">
      <c r="B31" s="200"/>
      <c r="C31" s="173"/>
      <c r="D31" s="162"/>
      <c r="E31" s="162"/>
      <c r="F31" s="163"/>
      <c r="G31" s="163"/>
      <c r="H31" s="163"/>
      <c r="I31" s="163"/>
      <c r="J31" s="163"/>
      <c r="K31" s="163"/>
    </row>
    <row r="32" spans="2:14">
      <c r="B32" s="200"/>
      <c r="C32" s="173"/>
      <c r="D32" s="162"/>
      <c r="E32" s="162"/>
      <c r="F32" s="163"/>
      <c r="G32" s="163"/>
      <c r="H32" s="163"/>
      <c r="I32" s="163"/>
      <c r="J32" s="163"/>
      <c r="K32" s="163"/>
    </row>
    <row r="33" spans="2:11">
      <c r="B33" s="200"/>
      <c r="C33" s="173"/>
      <c r="D33" s="161"/>
      <c r="E33" s="162"/>
      <c r="F33" s="163"/>
      <c r="G33" s="163"/>
      <c r="H33" s="163"/>
      <c r="I33" s="163"/>
      <c r="J33" s="163"/>
      <c r="K33" s="163"/>
    </row>
    <row r="34" spans="2:11">
      <c r="B34" s="201"/>
      <c r="C34" s="202"/>
      <c r="D34" s="162"/>
      <c r="E34" s="162"/>
      <c r="F34" s="163"/>
      <c r="G34" s="163"/>
      <c r="H34" s="163"/>
      <c r="I34" s="163"/>
      <c r="J34" s="163"/>
      <c r="K34" s="163"/>
    </row>
    <row r="35" spans="2:11">
      <c r="B35" s="200"/>
      <c r="C35" s="202"/>
      <c r="D35" s="161"/>
      <c r="E35" s="162"/>
      <c r="F35" s="163"/>
      <c r="G35" s="163"/>
      <c r="H35" s="163"/>
      <c r="I35" s="163"/>
      <c r="J35" s="163"/>
      <c r="K35" s="163"/>
    </row>
    <row r="36" spans="2:11">
      <c r="B36" s="200"/>
      <c r="C36" s="202"/>
      <c r="D36" s="203"/>
      <c r="E36" s="162"/>
      <c r="F36" s="204"/>
      <c r="G36" s="204"/>
      <c r="H36" s="204"/>
      <c r="I36" s="204"/>
      <c r="J36" s="204"/>
      <c r="K36" s="204"/>
    </row>
    <row r="37" spans="2:11">
      <c r="B37" s="200"/>
      <c r="C37" s="173"/>
      <c r="D37" s="161"/>
      <c r="E37" s="162"/>
      <c r="F37" s="163"/>
      <c r="G37" s="163"/>
      <c r="H37" s="163"/>
      <c r="I37" s="163"/>
      <c r="J37" s="163"/>
      <c r="K37" s="163"/>
    </row>
    <row r="38" spans="2:11">
      <c r="B38" s="200"/>
      <c r="C38" s="173"/>
      <c r="D38" s="205"/>
      <c r="E38" s="162"/>
      <c r="F38" s="163"/>
      <c r="G38" s="163"/>
      <c r="H38" s="163"/>
      <c r="I38" s="163"/>
      <c r="J38" s="163"/>
      <c r="K38" s="163"/>
    </row>
    <row r="39" spans="2:11">
      <c r="B39" s="200"/>
      <c r="C39" s="173"/>
      <c r="D39" s="161"/>
      <c r="E39" s="162"/>
      <c r="F39" s="163"/>
      <c r="G39" s="163"/>
      <c r="H39" s="163"/>
      <c r="I39" s="163"/>
      <c r="J39" s="163"/>
      <c r="K39" s="163"/>
    </row>
    <row r="40" spans="2:11">
      <c r="B40" s="161"/>
      <c r="C40" s="161"/>
      <c r="D40" s="161"/>
      <c r="E40" s="162"/>
      <c r="F40" s="163"/>
      <c r="G40" s="163"/>
      <c r="H40" s="163"/>
      <c r="I40" s="163"/>
      <c r="J40" s="163"/>
      <c r="K40" s="163"/>
    </row>
    <row r="41" spans="2:11">
      <c r="B41" s="161"/>
      <c r="C41" s="161"/>
      <c r="D41" s="161"/>
      <c r="E41" s="162"/>
      <c r="F41" s="163"/>
      <c r="G41" s="163"/>
      <c r="H41" s="163"/>
      <c r="I41" s="163"/>
      <c r="J41" s="163"/>
      <c r="K41" s="163"/>
    </row>
    <row r="42" spans="2:11">
      <c r="B42" s="161"/>
      <c r="C42" s="161"/>
      <c r="D42" s="161"/>
      <c r="E42" s="162"/>
      <c r="F42" s="163"/>
      <c r="G42" s="163"/>
      <c r="H42" s="163"/>
      <c r="I42" s="163"/>
      <c r="J42" s="163"/>
      <c r="K42" s="163"/>
    </row>
    <row r="43" spans="2:11">
      <c r="B43" s="161"/>
      <c r="C43" s="161"/>
      <c r="D43" s="161"/>
      <c r="E43" s="162"/>
      <c r="F43" s="163"/>
      <c r="G43" s="163"/>
      <c r="H43" s="163"/>
      <c r="I43" s="163"/>
      <c r="J43" s="163"/>
      <c r="K43" s="163"/>
    </row>
    <row r="44" spans="2:11">
      <c r="B44" s="161"/>
      <c r="C44" s="161"/>
      <c r="D44" s="161"/>
      <c r="E44" s="162"/>
      <c r="F44" s="163"/>
      <c r="G44" s="163"/>
      <c r="H44" s="163"/>
      <c r="I44" s="163"/>
      <c r="J44" s="163"/>
      <c r="K44" s="163"/>
    </row>
    <row r="45" spans="2:11">
      <c r="B45" s="161"/>
      <c r="C45" s="161"/>
      <c r="D45" s="161"/>
      <c r="E45" s="162"/>
      <c r="F45" s="163"/>
      <c r="G45" s="163"/>
      <c r="H45" s="163"/>
      <c r="I45" s="163"/>
      <c r="J45" s="163"/>
      <c r="K45" s="163"/>
    </row>
    <row r="46" spans="2:11">
      <c r="B46" s="161"/>
      <c r="C46" s="161"/>
      <c r="D46" s="161"/>
      <c r="E46" s="162"/>
      <c r="F46" s="163"/>
      <c r="G46" s="163"/>
      <c r="H46" s="163"/>
      <c r="I46" s="163"/>
      <c r="J46" s="163"/>
      <c r="K46" s="163"/>
    </row>
    <row r="47" spans="2:11">
      <c r="B47" s="161"/>
      <c r="C47" s="161"/>
      <c r="D47" s="161"/>
      <c r="E47" s="162"/>
      <c r="F47" s="163"/>
      <c r="G47" s="163"/>
      <c r="H47" s="163"/>
      <c r="I47" s="163"/>
      <c r="J47" s="163"/>
      <c r="K47" s="163"/>
    </row>
    <row r="48" spans="2:11">
      <c r="B48" s="161"/>
      <c r="C48" s="161"/>
      <c r="D48" s="161"/>
      <c r="E48" s="162"/>
      <c r="F48" s="163"/>
      <c r="G48" s="163"/>
      <c r="H48" s="163"/>
      <c r="I48" s="163"/>
      <c r="J48" s="163"/>
      <c r="K48" s="163"/>
    </row>
    <row r="49" spans="2:11">
      <c r="B49" s="161"/>
      <c r="C49" s="161"/>
      <c r="D49" s="161"/>
      <c r="E49" s="162"/>
      <c r="F49" s="163"/>
      <c r="G49" s="163"/>
      <c r="H49" s="163"/>
      <c r="I49" s="163"/>
      <c r="J49" s="163"/>
      <c r="K49" s="163"/>
    </row>
    <row r="50" spans="2:11">
      <c r="B50" s="161"/>
      <c r="C50" s="161"/>
      <c r="D50" s="161"/>
      <c r="E50" s="162"/>
      <c r="F50" s="163"/>
      <c r="G50" s="163"/>
      <c r="H50" s="163"/>
      <c r="I50" s="163"/>
      <c r="J50" s="163"/>
      <c r="K50" s="163"/>
    </row>
    <row r="51" spans="2:11">
      <c r="B51" s="161"/>
      <c r="C51" s="161"/>
      <c r="D51" s="161"/>
      <c r="E51" s="162"/>
      <c r="F51" s="163"/>
      <c r="G51" s="163"/>
      <c r="H51" s="163"/>
      <c r="I51" s="163"/>
      <c r="J51" s="163"/>
      <c r="K51" s="163"/>
    </row>
    <row r="52" spans="2:11">
      <c r="B52" s="161"/>
      <c r="C52" s="161"/>
      <c r="D52" s="161"/>
      <c r="E52" s="162"/>
      <c r="F52" s="163"/>
      <c r="G52" s="163"/>
      <c r="H52" s="163"/>
      <c r="I52" s="163"/>
      <c r="J52" s="163"/>
      <c r="K52" s="163"/>
    </row>
  </sheetData>
  <mergeCells count="2">
    <mergeCell ref="B5:L5"/>
    <mergeCell ref="B7:L7"/>
  </mergeCells>
  <printOptions horizontalCentered="1"/>
  <pageMargins left="0.49" right="0.22" top="0.39370078740157499" bottom="0.39370078740157499" header="0" footer="0"/>
  <pageSetup paperSize="9" scale="95"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Funding Requirement</vt:lpstr>
      <vt:lpstr>Project Cost &amp; Capital Expendit</vt:lpstr>
      <vt:lpstr>Bank Funding Margins</vt:lpstr>
      <vt:lpstr>Project BS P2 </vt:lpstr>
      <vt:lpstr>Project PL  P2</vt:lpstr>
      <vt:lpstr>Production, Revenue &amp; Profi P2</vt:lpstr>
      <vt:lpstr>Utilities-1 P2</vt:lpstr>
      <vt:lpstr>Depreciation Chart - Eco Gr P2</vt:lpstr>
      <vt:lpstr>Human Resource P2</vt:lpstr>
      <vt:lpstr>TL 2</vt:lpstr>
      <vt:lpstr>Ratio Analysis P2</vt:lpstr>
      <vt:lpstr>Project BS</vt:lpstr>
      <vt:lpstr>Project PL </vt:lpstr>
      <vt:lpstr>Production, Revenue &amp; Profit</vt:lpstr>
      <vt:lpstr>Utilities-1</vt:lpstr>
      <vt:lpstr>Depreciation Chart - Eco Green</vt:lpstr>
      <vt:lpstr>Human Resource</vt:lpstr>
      <vt:lpstr>TL 1 </vt:lpstr>
      <vt:lpstr>Ratio Analysis</vt:lpstr>
      <vt:lpstr>Project BS Combined</vt:lpstr>
      <vt:lpstr>Project PL  Combined</vt:lpstr>
      <vt:lpstr>Ratio Analysis Combined</vt:lpstr>
      <vt:lpstr>CMA Format Combined</vt:lpstr>
      <vt:lpstr>'Bank Funding Margins'!Print_Area</vt:lpstr>
      <vt:lpstr>'CMA Format Combined'!Print_Area</vt:lpstr>
      <vt:lpstr>'Depreciation Chart - Eco Gr P2'!Print_Area</vt:lpstr>
      <vt:lpstr>'Depreciation Chart - Eco Green'!Print_Area</vt:lpstr>
      <vt:lpstr>'Funding Requirement'!Print_Area</vt:lpstr>
      <vt:lpstr>'Human Resource'!Print_Area</vt:lpstr>
      <vt:lpstr>'Human Resource P2'!Print_Area</vt:lpstr>
      <vt:lpstr>'Production, Revenue &amp; Profi P2'!Print_Area</vt:lpstr>
      <vt:lpstr>'Production, Revenue &amp; Profit'!Print_Area</vt:lpstr>
      <vt:lpstr>'Project BS'!Print_Area</vt:lpstr>
      <vt:lpstr>'Project BS Combined'!Print_Area</vt:lpstr>
      <vt:lpstr>'Project BS P2 '!Print_Area</vt:lpstr>
      <vt:lpstr>'Project Cost &amp; Capital Expendit'!Print_Area</vt:lpstr>
      <vt:lpstr>'Project PL '!Print_Area</vt:lpstr>
      <vt:lpstr>'Project PL  Combined'!Print_Area</vt:lpstr>
      <vt:lpstr>'Project PL  P2'!Print_Area</vt:lpstr>
      <vt:lpstr>'Ratio Analysis'!Print_Area</vt:lpstr>
      <vt:lpstr>'Ratio Analysis Combined'!Print_Area</vt:lpstr>
      <vt:lpstr>'Ratio Analysis P2'!Print_Area</vt:lpstr>
      <vt:lpstr>'TL 1 '!Print_Area</vt:lpstr>
      <vt:lpstr>'TL 2'!Print_Area</vt:lpstr>
      <vt:lpstr>'Utilities-1'!Print_Area</vt:lpstr>
      <vt:lpstr>'Utilities-1 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2023-08-28T11:02:08Z</dcterms:modified>
</cp:coreProperties>
</file>