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Arvind Kumar Jain Shri. Nandlal Ji jain, Senior Dewas\"/>
    </mc:Choice>
  </mc:AlternateContent>
  <xr:revisionPtr revIDLastSave="0" documentId="13_ncr:1_{D9481EF5-F10C-40AA-ADE8-B903E31D05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C31" i="2" l="1"/>
  <c r="I3" i="2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2" i="2" l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<sst xmlns="http://schemas.openxmlformats.org/spreadsheetml/2006/main" count="65" uniqueCount="52">
  <si>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</si>
  <si>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</si>
  <si>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</si>
  <si>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</si>
  <si>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</si>
  <si>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</si>
  <si>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</si>
  <si>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</si>
  <si>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</si>
  <si>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</si>
  <si>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</si>
  <si>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</si>
  <si>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</si>
  <si>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</si>
  <si>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</si>
  <si>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</si>
  <si>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</si>
  <si>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</si>
  <si>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</si>
  <si>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</si>
  <si>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</si>
  <si>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</si>
  <si>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</si>
  <si>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</si>
  <si>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</si>
  <si>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</si>
  <si>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</si>
  <si>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</si>
  <si>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</si>
  <si>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</si>
  <si>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</si>
  <si>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</si>
  <si>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</si>
  <si>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</si>
  <si>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</si>
  <si>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</si>
  <si>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</si>
  <si>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</si>
  <si>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</si>
  <si>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</si>
  <si>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</si>
  <si>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</si>
  <si>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</si>
  <si>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</si>
  <si>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</si>
  <si>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</si>
  <si>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Area in Sq.  M.</t>
  </si>
  <si>
    <t>Area in Sq. Ft.</t>
  </si>
  <si>
    <t>Plot Area</t>
  </si>
  <si>
    <t>Exis. Ground Floor</t>
  </si>
  <si>
    <t>Proposed Ground Floor</t>
  </si>
  <si>
    <t>Total Built –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</si>
</sst>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8" fillId="0" borderId="6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3" fontId="9" fillId="0" borderId="0" xfId="0" applyNumberFormat="1" applyFont="1"/>
    <xf numFmtId="165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29</xdr:col>
      <xdr:colOff>207924</xdr:colOff>
      <xdr:row>51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4765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K32" sqref="K32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1374</v>
      </c>
      <c r="D2" s="7" t="s">
        <v>44</v>
      </c>
      <c r="E2" s="4"/>
      <c r="F2" s="4"/>
      <c r="G2" s="25"/>
      <c r="H2" s="1" t="s">
        <v>39</v>
      </c>
      <c r="I2" s="61">
        <v>21600</v>
      </c>
      <c r="J2" s="61">
        <f>C2</f>
        <v>1374</v>
      </c>
      <c r="K2" s="61">
        <f>I3</f>
        <v>2007</v>
      </c>
      <c r="L2" s="51">
        <f>J2*K2</f>
        <v>2757618</v>
      </c>
      <c r="O2" s="58" t="s">
        <v>35</v>
      </c>
      <c r="P2" s="59">
        <f>C28</f>
        <v>7737006</v>
      </c>
      <c r="R2" s="20">
        <f>P2*0.025/12</f>
        <v>16118.762500000003</v>
      </c>
      <c r="S2" s="18" t="s">
        <v>34</v>
      </c>
    </row>
    <row r="3" spans="1:19" x14ac:dyDescent="0.3">
      <c r="B3" s="24" t="s">
        <v>6</v>
      </c>
      <c r="C3" s="50">
        <v>5000</v>
      </c>
      <c r="D3" s="15"/>
      <c r="E3" s="26"/>
      <c r="F3" s="26"/>
      <c r="G3" s="15"/>
      <c r="H3" s="1" t="s">
        <v>40</v>
      </c>
      <c r="I3" s="61">
        <f>MROUND(I2/10.764,1)</f>
        <v>2007</v>
      </c>
      <c r="J3" s="61"/>
      <c r="K3" s="51"/>
      <c r="L3" s="51">
        <f>N11</f>
        <v>867006</v>
      </c>
      <c r="O3" s="58" t="s">
        <v>35</v>
      </c>
      <c r="P3" s="59">
        <f>C28</f>
        <v>7737006</v>
      </c>
      <c r="Q3" s="7"/>
      <c r="R3" s="20">
        <f>P3*0.04/12</f>
        <v>25790.02</v>
      </c>
      <c r="S3" s="60" t="s">
        <v>36</v>
      </c>
    </row>
    <row r="4" spans="1:19" x14ac:dyDescent="0.3">
      <c r="B4" s="31" t="s">
        <v>18</v>
      </c>
      <c r="C4" s="51">
        <f>ROUND((C2*C3),0)</f>
        <v>6870000</v>
      </c>
      <c r="F4" s="79"/>
      <c r="G4" s="22"/>
      <c r="I4" s="51"/>
      <c r="J4" s="61"/>
      <c r="K4" s="51"/>
      <c r="L4" s="51">
        <f>SUM(L2:L3)</f>
        <v>3624624</v>
      </c>
      <c r="O4" s="58" t="s">
        <v>35</v>
      </c>
      <c r="P4" s="59">
        <f>C28</f>
        <v>7737006</v>
      </c>
      <c r="Q4" s="7"/>
      <c r="R4" s="20">
        <f>P4*0.033/12</f>
        <v>21276.766500000002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882</v>
      </c>
      <c r="D8" s="48">
        <v>2001</v>
      </c>
      <c r="E8" s="48">
        <v>2024</v>
      </c>
      <c r="F8" s="48">
        <v>60</v>
      </c>
      <c r="G8" s="52">
        <v>1500</v>
      </c>
      <c r="H8" s="53">
        <f t="shared" ref="H8" si="0">E8-D8</f>
        <v>23</v>
      </c>
      <c r="I8" s="53">
        <f t="shared" ref="I8" si="1">F8-H8</f>
        <v>37</v>
      </c>
      <c r="J8" s="53">
        <f t="shared" ref="J8" si="2">IF(H8&gt;=5,90*H8/F8,0)</f>
        <v>34.5</v>
      </c>
      <c r="K8" s="53">
        <f t="shared" ref="K8" si="3">G8/100*J8</f>
        <v>517.5</v>
      </c>
      <c r="L8" s="53">
        <f t="shared" ref="L8" si="4">ROUND((G8-K8),0)</f>
        <v>983</v>
      </c>
      <c r="M8" s="53">
        <f t="shared" ref="M8" si="5">O8-N8</f>
        <v>455994</v>
      </c>
      <c r="N8" s="53">
        <f t="shared" ref="N8" si="6">ROUND((L8*C8),0)</f>
        <v>867006</v>
      </c>
      <c r="O8" s="53">
        <f t="shared" ref="O8" si="7">ROUND((C8*G8),0)</f>
        <v>1323000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455994</v>
      </c>
      <c r="N11" s="53">
        <f>SUM(N8:N10)</f>
        <v>867006</v>
      </c>
      <c r="O11" s="53">
        <f>SUM(O8:O10)</f>
        <v>1323000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3" t="s">
        <v>20</v>
      </c>
      <c r="C13" s="73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4" t="s">
        <v>15</v>
      </c>
      <c r="C18" s="75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ht="17.25" thickBot="1" x14ac:dyDescent="0.35">
      <c r="B20" s="24" t="s">
        <v>6</v>
      </c>
      <c r="C20" s="50">
        <v>0</v>
      </c>
      <c r="D20" s="29"/>
      <c r="E20" s="22"/>
      <c r="F20" s="76" t="s">
        <v>45</v>
      </c>
      <c r="G20" s="77"/>
      <c r="H20" s="77"/>
      <c r="I20" s="77"/>
      <c r="J20" s="77"/>
      <c r="K20" s="78"/>
      <c r="L20" s="7"/>
      <c r="N20" s="1"/>
      <c r="O20" s="1"/>
    </row>
    <row r="21" spans="1:15" ht="17.25" thickBot="1" x14ac:dyDescent="0.35">
      <c r="B21" s="24" t="s">
        <v>7</v>
      </c>
      <c r="C21" s="54">
        <f>ROUND((C19*C20),0)</f>
        <v>0</v>
      </c>
      <c r="D21" s="9"/>
      <c r="E21" s="9"/>
      <c r="F21" s="66" t="s">
        <v>27</v>
      </c>
      <c r="G21" s="67" t="s">
        <v>46</v>
      </c>
      <c r="H21" s="67" t="s">
        <v>47</v>
      </c>
      <c r="I21" s="26"/>
      <c r="J21" s="26"/>
      <c r="K21" s="26"/>
      <c r="L21" s="7"/>
      <c r="N21" s="1"/>
      <c r="O21" s="1"/>
    </row>
    <row r="22" spans="1:15" ht="17.25" thickBot="1" x14ac:dyDescent="0.35">
      <c r="B22" s="39"/>
      <c r="C22" s="19"/>
      <c r="D22" s="9"/>
      <c r="E22" s="9"/>
      <c r="F22" s="68" t="s">
        <v>48</v>
      </c>
      <c r="G22" s="69">
        <v>127.11</v>
      </c>
      <c r="H22" s="72">
        <v>1368</v>
      </c>
      <c r="I22" s="26"/>
      <c r="J22" s="26"/>
      <c r="K22" s="26"/>
      <c r="L22" s="7"/>
      <c r="N22" s="1"/>
      <c r="O22" s="1"/>
    </row>
    <row r="23" spans="1:15" ht="33.75" thickBot="1" x14ac:dyDescent="0.35">
      <c r="C23" s="9" t="s">
        <v>22</v>
      </c>
      <c r="D23" s="9"/>
      <c r="E23" s="9"/>
      <c r="F23" s="68" t="s">
        <v>49</v>
      </c>
      <c r="G23" s="69">
        <v>42.9</v>
      </c>
      <c r="H23" s="69">
        <v>462</v>
      </c>
      <c r="I23" s="26"/>
      <c r="J23" s="26"/>
      <c r="K23" s="26"/>
      <c r="L23" s="7"/>
      <c r="N23" s="1"/>
      <c r="O23" s="1"/>
    </row>
    <row r="24" spans="1:15" ht="33.75" thickBot="1" x14ac:dyDescent="0.35">
      <c r="B24" s="2" t="s">
        <v>13</v>
      </c>
      <c r="C24" s="51">
        <f>C4</f>
        <v>6870000</v>
      </c>
      <c r="D24" s="19"/>
      <c r="E24" s="19"/>
      <c r="F24" s="68" t="s">
        <v>50</v>
      </c>
      <c r="G24" s="69">
        <v>42.9</v>
      </c>
      <c r="H24" s="69">
        <v>462</v>
      </c>
      <c r="I24" s="26"/>
      <c r="J24" s="64"/>
      <c r="K24" s="26"/>
      <c r="L24" s="7"/>
      <c r="N24" s="1"/>
      <c r="O24" s="1"/>
    </row>
    <row r="25" spans="1:15" ht="33.75" thickBot="1" x14ac:dyDescent="0.35">
      <c r="B25" s="2" t="s">
        <v>14</v>
      </c>
      <c r="C25" s="51">
        <f>N11</f>
        <v>867006</v>
      </c>
      <c r="D25" s="19"/>
      <c r="E25" s="19"/>
      <c r="F25" s="70" t="s">
        <v>51</v>
      </c>
      <c r="G25" s="71">
        <v>85.8</v>
      </c>
      <c r="H25" s="71">
        <v>924</v>
      </c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7737006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6963305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6189605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C25</f>
        <v>867006</v>
      </c>
      <c r="D31" s="30"/>
      <c r="O31" s="33"/>
    </row>
    <row r="32" spans="1:15" x14ac:dyDescent="0.3">
      <c r="A32" s="1"/>
      <c r="B32" s="13" t="s">
        <v>41</v>
      </c>
      <c r="C32" s="80">
        <f>MROUND(C31*0.85,1)</f>
        <v>736955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2024-02-07T07:47:30Z</dcterms:modified>
</cp:coreProperties>
</file>