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BI\Commercial Branch Vile Parle\VSP Dairy\"/>
    </mc:Choice>
  </mc:AlternateContent>
  <xr:revisionPtr revIDLastSave="0" documentId="13_ncr:1_{9DAB7202-4611-4D62-BBB2-806CFBC11D0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Working" sheetId="1" r:id="rId1"/>
    <sheet name="Sheet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34" i="1" l="1"/>
  <c r="C13" i="1"/>
  <c r="I13" i="1" s="1"/>
  <c r="I32" i="1"/>
  <c r="D33" i="1"/>
  <c r="G18" i="1"/>
  <c r="G13" i="1"/>
  <c r="F13" i="1"/>
  <c r="K18" i="1"/>
  <c r="L21" i="1"/>
  <c r="I38" i="1"/>
  <c r="F42" i="1"/>
  <c r="F41" i="1"/>
  <c r="F40" i="1"/>
  <c r="D41" i="1"/>
  <c r="C40" i="1"/>
  <c r="D13" i="1"/>
  <c r="D29" i="1"/>
  <c r="F29" i="1"/>
  <c r="E29" i="1"/>
  <c r="G29" i="1"/>
  <c r="E15" i="1"/>
  <c r="E13" i="1"/>
  <c r="E18" i="1" s="1"/>
  <c r="G19" i="1" l="1"/>
  <c r="E28" i="1"/>
  <c r="D28" i="1"/>
  <c r="D15" i="1"/>
  <c r="F28" i="1"/>
  <c r="F19" i="1"/>
  <c r="F16" i="1"/>
  <c r="F30" i="1" l="1"/>
  <c r="F32" i="1" s="1"/>
  <c r="F15" i="1"/>
  <c r="C15" i="1"/>
  <c r="G16" i="1"/>
  <c r="D19" i="1"/>
  <c r="C10" i="1"/>
  <c r="C38" i="1" s="1"/>
  <c r="H27" i="1"/>
  <c r="G28" i="1"/>
  <c r="E19" i="1" l="1"/>
  <c r="D30" i="1"/>
  <c r="D32" i="1" s="1"/>
  <c r="G30" i="1" l="1"/>
  <c r="G32" i="1" s="1"/>
  <c r="D34" i="1" s="1"/>
  <c r="E30" i="1"/>
  <c r="E32" i="1" s="1"/>
  <c r="D35" i="1" l="1"/>
  <c r="D38" i="1" s="1"/>
  <c r="H34" i="1"/>
  <c r="H33" i="1"/>
  <c r="E38" i="1" l="1"/>
  <c r="E40" i="1" s="1"/>
  <c r="E41" i="1" s="1"/>
  <c r="F38" i="1"/>
</calcChain>
</file>

<file path=xl/sharedStrings.xml><?xml version="1.0" encoding="utf-8"?>
<sst xmlns="http://schemas.openxmlformats.org/spreadsheetml/2006/main" count="69" uniqueCount="55">
  <si>
    <t xml:space="preserve">Particulars </t>
  </si>
  <si>
    <t>Subject Property</t>
  </si>
  <si>
    <t>Benchmark 1</t>
  </si>
  <si>
    <t>Benchmark 2</t>
  </si>
  <si>
    <t xml:space="preserve">Transaction / Listing </t>
  </si>
  <si>
    <t xml:space="preserve">Date of Transaction/Listing </t>
  </si>
  <si>
    <t xml:space="preserve">Property Location </t>
  </si>
  <si>
    <t xml:space="preserve">Property Type </t>
  </si>
  <si>
    <t xml:space="preserve">Property Rights </t>
  </si>
  <si>
    <t>Freehold</t>
  </si>
  <si>
    <t>Loading</t>
  </si>
  <si>
    <t>Distance from the location</t>
  </si>
  <si>
    <t>Asking Value (INR. )</t>
  </si>
  <si>
    <t xml:space="preserve">Asking Rate (INR per sq. mtr.) </t>
  </si>
  <si>
    <t>Adjustments</t>
  </si>
  <si>
    <t xml:space="preserve">Listing Discount </t>
  </si>
  <si>
    <t>Discount for Type</t>
  </si>
  <si>
    <t>Discount for Size</t>
  </si>
  <si>
    <t xml:space="preserve">Adjusted Rate in INR </t>
  </si>
  <si>
    <t>Percentage</t>
  </si>
  <si>
    <t>Assets</t>
  </si>
  <si>
    <t>Market Value (INR)</t>
  </si>
  <si>
    <t>Realizable Value (INR)</t>
  </si>
  <si>
    <t>Distress Value (INR)</t>
  </si>
  <si>
    <t>Discount for floors</t>
  </si>
  <si>
    <t>Name</t>
  </si>
  <si>
    <t>Address</t>
  </si>
  <si>
    <t>Area</t>
  </si>
  <si>
    <t>Verbal Inquiry</t>
  </si>
  <si>
    <t xml:space="preserve">Carpet Area in sq. mtr. (as per physical measurement) </t>
  </si>
  <si>
    <t>Physical Measuremnt</t>
  </si>
  <si>
    <t>Built up area in sq. mtr. (As per old valuation report)</t>
  </si>
  <si>
    <t xml:space="preserve"> </t>
  </si>
  <si>
    <t>75% of MV</t>
  </si>
  <si>
    <t>85% of MV</t>
  </si>
  <si>
    <t xml:space="preserve">Net Adjustments </t>
  </si>
  <si>
    <t>Gross Adjustment</t>
  </si>
  <si>
    <t>Shop</t>
  </si>
  <si>
    <t>Same project</t>
  </si>
  <si>
    <t>Market Liquidity</t>
  </si>
  <si>
    <t xml:space="preserve">Average Adjuested Rate on Carpet area (INR per sq. mtr.) </t>
  </si>
  <si>
    <t>Same project FF Shop</t>
  </si>
  <si>
    <t>Age of the property</t>
  </si>
  <si>
    <t>Web reference</t>
  </si>
  <si>
    <t>Adopted Composite Rate per Sq.mtr. for Carpet area</t>
  </si>
  <si>
    <t>Shyam Sintex</t>
  </si>
  <si>
    <t>Office no. 805 &amp; 804, Sankalp Iconice, Bopal Ambli road, Ahmedabad</t>
  </si>
  <si>
    <t>Carpet Area</t>
  </si>
  <si>
    <t xml:space="preserve">Carpet Area in sq. mtr. (as per Index 2) </t>
  </si>
  <si>
    <t>As per telephic conversation with broker Carpet area is approximate 430 sq ft</t>
  </si>
  <si>
    <t>Old Valuation Report</t>
  </si>
  <si>
    <t>Discount for Location</t>
  </si>
  <si>
    <t>Navratna  Business Park, Bopal Ambli Road</t>
  </si>
  <si>
    <t>Nerby Project</t>
  </si>
  <si>
    <t>Benchmark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</si>
</sst>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71C9D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rgb="FF71C9D5"/>
      </bottom>
      <diagonal/>
    </border>
    <border>
      <left/>
      <right/>
      <top style="thin">
        <color rgb="FF71C9D5"/>
      </top>
      <bottom style="thin">
        <color rgb="FF71C9D5"/>
      </bottom>
      <diagonal/>
    </border>
    <border>
      <left/>
      <right/>
      <top style="thin">
        <color rgb="FF71C9D5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1">
    <xf numFmtId="0" fontId="0" fillId="0" borderId="0" xfId="0"/>
    <xf numFmtId="10" fontId="3" fillId="0" borderId="2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14" fontId="3" fillId="0" borderId="2" xfId="0" applyNumberFormat="1" applyFont="1" applyBorder="1" applyAlignment="1">
      <alignment horizontal="center" vertical="center" wrapText="1"/>
    </xf>
    <xf numFmtId="2" fontId="3" fillId="0" borderId="2" xfId="0" applyNumberFormat="1" applyFont="1" applyBorder="1" applyAlignment="1">
      <alignment vertical="center" wrapText="1"/>
    </xf>
    <xf numFmtId="43" fontId="3" fillId="0" borderId="2" xfId="1" applyFont="1" applyBorder="1" applyAlignment="1">
      <alignment horizontal="right" vertical="center" wrapText="1"/>
    </xf>
    <xf numFmtId="2" fontId="3" fillId="0" borderId="2" xfId="0" applyNumberFormat="1" applyFont="1" applyBorder="1" applyAlignment="1">
      <alignment horizontal="right" vertical="center" wrapText="1"/>
    </xf>
    <xf numFmtId="10" fontId="3" fillId="0" borderId="2" xfId="0" applyNumberFormat="1" applyFont="1" applyBorder="1" applyAlignment="1">
      <alignment vertical="center" wrapText="1"/>
    </xf>
    <xf numFmtId="165" fontId="3" fillId="0" borderId="2" xfId="2" applyNumberFormat="1" applyFont="1" applyBorder="1" applyAlignment="1">
      <alignment horizontal="right" vertical="center" wrapText="1"/>
    </xf>
    <xf numFmtId="165" fontId="3" fillId="0" borderId="2" xfId="0" applyNumberFormat="1" applyFont="1" applyBorder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4" fontId="4" fillId="0" borderId="3" xfId="0" applyNumberFormat="1" applyFont="1" applyBorder="1" applyAlignment="1">
      <alignment horizontal="center" vertical="center" wrapText="1"/>
    </xf>
    <xf numFmtId="10" fontId="4" fillId="0" borderId="3" xfId="0" applyNumberFormat="1" applyFont="1" applyBorder="1" applyAlignment="1">
      <alignment horizontal="center" vertical="center" wrapText="1"/>
    </xf>
    <xf numFmtId="4" fontId="2" fillId="2" borderId="2" xfId="0" applyNumberFormat="1" applyFont="1" applyFill="1" applyBorder="1" applyAlignment="1">
      <alignment vertical="center" wrapText="1"/>
    </xf>
    <xf numFmtId="3" fontId="2" fillId="2" borderId="3" xfId="0" applyNumberFormat="1" applyFont="1" applyFill="1" applyBorder="1" applyAlignment="1">
      <alignment vertical="center" wrapText="1"/>
    </xf>
    <xf numFmtId="165" fontId="0" fillId="0" borderId="0" xfId="1" applyNumberFormat="1" applyFont="1" applyAlignment="1">
      <alignment vertical="center"/>
    </xf>
    <xf numFmtId="0" fontId="2" fillId="2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165" fontId="0" fillId="0" borderId="2" xfId="0" applyNumberFormat="1" applyBorder="1" applyAlignment="1">
      <alignment vertical="center"/>
    </xf>
    <xf numFmtId="9" fontId="0" fillId="0" borderId="0" xfId="3" applyFont="1" applyAlignment="1">
      <alignment vertical="center"/>
    </xf>
    <xf numFmtId="2" fontId="0" fillId="0" borderId="0" xfId="0" applyNumberFormat="1" applyAlignment="1">
      <alignment vertical="center"/>
    </xf>
    <xf numFmtId="10" fontId="0" fillId="0" borderId="0" xfId="0" applyNumberFormat="1" applyAlignment="1">
      <alignment vertical="center"/>
    </xf>
    <xf numFmtId="0" fontId="0" fillId="0" borderId="0" xfId="0" applyAlignment="1">
      <alignment horizontal="center" vertical="center"/>
    </xf>
    <xf numFmtId="3" fontId="2" fillId="2" borderId="3" xfId="0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0" fontId="3" fillId="0" borderId="3" xfId="0" applyNumberFormat="1" applyFont="1" applyBorder="1" applyAlignment="1">
      <alignment horizontal="center" vertical="center" wrapText="1"/>
    </xf>
    <xf numFmtId="43" fontId="0" fillId="0" borderId="0" xfId="0" applyNumberFormat="1" applyAlignment="1">
      <alignment vertical="center"/>
    </xf>
    <xf numFmtId="3" fontId="4" fillId="0" borderId="3" xfId="0" applyNumberFormat="1" applyFont="1" applyBorder="1" applyAlignment="1">
      <alignment horizontal="center" vertical="center" wrapText="1"/>
    </xf>
    <xf numFmtId="2" fontId="3" fillId="3" borderId="2" xfId="0" applyNumberFormat="1" applyFont="1" applyFill="1" applyBorder="1" applyAlignment="1">
      <alignment horizontal="right" vertical="center" wrapText="1"/>
    </xf>
    <xf numFmtId="165" fontId="0" fillId="3" borderId="2" xfId="0" applyNumberFormat="1" applyFill="1" applyBorder="1" applyAlignment="1">
      <alignment vertical="center"/>
    </xf>
    <xf numFmtId="0" fontId="6" fillId="3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vertical="center"/>
    </xf>
    <xf numFmtId="3" fontId="2" fillId="2" borderId="2" xfId="0" applyNumberFormat="1" applyFont="1" applyFill="1" applyBorder="1" applyAlignment="1">
      <alignment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5" fillId="2" borderId="2" xfId="0" applyFont="1" applyFill="1" applyBorder="1" applyAlignment="1">
      <alignment horizontal="left" vertical="center" wrapText="1"/>
    </xf>
  </cellXfs>
  <cellStyles count="4">
    <cellStyle name="Comma" xfId="1" builtinId="3"/>
    <cellStyle name="Comma 2" xfId="2" xr:uid="{00000000-0005-0000-0000-000001000000}"/>
    <cellStyle name="Normal" xfId="0" builtinId="0"/>
    <cellStyle name="Percent" xfId="3" builtinId="5"/>
  </cellStyles>
  <dxfs count="0"/>
  <tableStyles count="0" defaultTableStyle="TableStyleMedium2" defaultPivotStyle="PivotStyleLight16"/>
  <colors>
    <mruColors>
      <color rgb="FF71C9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32846</xdr:colOff>
      <xdr:row>1</xdr:row>
      <xdr:rowOff>48374</xdr:rowOff>
    </xdr:from>
    <xdr:to>
      <xdr:col>18</xdr:col>
      <xdr:colOff>580259</xdr:colOff>
      <xdr:row>22</xdr:row>
      <xdr:rowOff>148925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29EF00-2E82-17F8-DC6A-0659D7B1A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79829" y="234495"/>
          <a:ext cx="7094482" cy="4249947"/>
        </a:xfrm>
        <a:prstGeom prst="rect">
          <a:avLst/>
        </a:prstGeom>
      </xdr:spPr>
    </xdr:pic>
    <xdr:clientData/>
  </xdr:twoCellAnchor>
  <xdr:twoCellAnchor editAs="oneCell">
    <xdr:from>
      <xdr:col>41</xdr:col>
      <xdr:colOff>53340</xdr:colOff>
      <xdr:row>4</xdr:row>
      <xdr:rowOff>60960</xdr:rowOff>
    </xdr:from>
    <xdr:to>
      <xdr:col>47</xdr:col>
      <xdr:colOff>192195</xdr:colOff>
      <xdr:row>16</xdr:row>
      <xdr:rowOff>223794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C83EA6-11E6-857B-BD97-B128025E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813000" y="792480"/>
          <a:ext cx="3750736" cy="2174514"/>
        </a:xfrm>
        <a:prstGeom prst="rect">
          <a:avLst/>
        </a:prstGeom>
      </xdr:spPr>
    </xdr:pic>
    <xdr:clientData/>
  </xdr:twoCellAnchor>
  <xdr:twoCellAnchor editAs="oneCell">
    <xdr:from>
      <xdr:col>41</xdr:col>
      <xdr:colOff>53340</xdr:colOff>
      <xdr:row>16</xdr:row>
      <xdr:rowOff>304800</xdr:rowOff>
    </xdr:from>
    <xdr:to>
      <xdr:col>47</xdr:col>
      <xdr:colOff>192195</xdr:colOff>
      <xdr:row>26</xdr:row>
      <xdr:rowOff>76112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A53F7B8-8E5D-3101-34F9-70A4BDF07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813000" y="3413760"/>
          <a:ext cx="3750736" cy="1965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O47"/>
  <sheetViews>
    <sheetView tabSelected="1" zoomScale="87" zoomScaleNormal="55" workbookViewId="0">
      <selection activeCell="M25" sqref="M25"/>
    </sheetView>
  </sheetViews>
  <sheetFormatPr defaultColWidth="8.85546875" defaultRowHeight="15" x14ac:dyDescent="0.25"/>
  <cols>
    <col min="1" max="1" width="8.85546875" style="2"/>
    <col min="2" max="3" width="19.85546875" style="2" customWidth="1"/>
    <col min="4" max="4" width="14" style="2" customWidth="1"/>
    <col min="5" max="5" width="15.140625" style="2" customWidth="1"/>
    <col min="6" max="7" width="17.140625" style="2" customWidth="1"/>
    <col min="8" max="8" width="8.85546875" style="2"/>
    <col min="9" max="9" width="18.42578125" style="2" bestFit="1" customWidth="1"/>
    <col min="10" max="16384" width="8.85546875" style="2"/>
  </cols>
  <sheetData>
    <row r="2" spans="2:9" x14ac:dyDescent="0.25">
      <c r="B2" s="2" t="s">
        <v>25</v>
      </c>
      <c r="C2" s="2" t="s">
        <v>45</v>
      </c>
    </row>
    <row r="3" spans="2:9" x14ac:dyDescent="0.25">
      <c r="B3" s="2" t="s">
        <v>26</v>
      </c>
      <c r="C3" s="2" t="s">
        <v>46</v>
      </c>
    </row>
    <row r="4" spans="2:9" x14ac:dyDescent="0.25">
      <c r="B4" s="2" t="s">
        <v>27</v>
      </c>
    </row>
    <row r="5" spans="2:9" x14ac:dyDescent="0.25">
      <c r="B5" s="2" t="s">
        <v>47</v>
      </c>
      <c r="C5" s="2">
        <v>62.36</v>
      </c>
    </row>
    <row r="6" spans="2:9" x14ac:dyDescent="0.25">
      <c r="D6" s="2">
        <v>9825069959</v>
      </c>
      <c r="F6" s="2">
        <v>9998492878</v>
      </c>
      <c r="G6" s="2">
        <v>7016632646</v>
      </c>
    </row>
    <row r="7" spans="2:9" x14ac:dyDescent="0.25">
      <c r="B7" s="3" t="s">
        <v>0</v>
      </c>
      <c r="C7" s="3" t="s">
        <v>1</v>
      </c>
      <c r="D7" s="4" t="s">
        <v>2</v>
      </c>
      <c r="E7" s="4"/>
      <c r="F7" s="4" t="s">
        <v>3</v>
      </c>
      <c r="G7" s="4" t="s">
        <v>54</v>
      </c>
    </row>
    <row r="8" spans="2:9" x14ac:dyDescent="0.25">
      <c r="B8" s="5" t="s">
        <v>4</v>
      </c>
      <c r="C8" s="5"/>
      <c r="D8" s="6" t="s">
        <v>28</v>
      </c>
      <c r="E8" s="6" t="s">
        <v>28</v>
      </c>
      <c r="F8" s="6" t="s">
        <v>43</v>
      </c>
      <c r="G8" s="6" t="s">
        <v>28</v>
      </c>
    </row>
    <row r="9" spans="2:9" ht="30" hidden="1" x14ac:dyDescent="0.25">
      <c r="B9" s="5" t="s">
        <v>5</v>
      </c>
      <c r="C9" s="5"/>
      <c r="D9" s="7"/>
      <c r="E9" s="7"/>
      <c r="F9" s="7"/>
      <c r="G9" s="7"/>
    </row>
    <row r="10" spans="2:9" ht="60" x14ac:dyDescent="0.25">
      <c r="B10" s="5" t="s">
        <v>6</v>
      </c>
      <c r="C10" s="6" t="str">
        <f>C3</f>
        <v>Office no. 805 &amp; 804, Sankalp Iconice, Bopal Ambli road, Ahmedabad</v>
      </c>
      <c r="D10" s="6" t="s">
        <v>38</v>
      </c>
      <c r="E10" s="6" t="s">
        <v>41</v>
      </c>
      <c r="F10" s="6" t="s">
        <v>38</v>
      </c>
      <c r="G10" s="6" t="s">
        <v>52</v>
      </c>
    </row>
    <row r="11" spans="2:9" hidden="1" x14ac:dyDescent="0.25">
      <c r="B11" s="5" t="s">
        <v>7</v>
      </c>
      <c r="C11" s="6" t="s">
        <v>37</v>
      </c>
      <c r="D11" s="6" t="s">
        <v>37</v>
      </c>
      <c r="E11" s="6" t="s">
        <v>37</v>
      </c>
      <c r="F11" s="6" t="s">
        <v>37</v>
      </c>
      <c r="G11" s="6" t="s">
        <v>37</v>
      </c>
    </row>
    <row r="12" spans="2:9" x14ac:dyDescent="0.25">
      <c r="B12" s="5" t="s">
        <v>8</v>
      </c>
      <c r="C12" s="6" t="s">
        <v>9</v>
      </c>
      <c r="D12" s="6" t="s">
        <v>9</v>
      </c>
      <c r="E12" s="6" t="s">
        <v>9</v>
      </c>
      <c r="F12" s="6" t="s">
        <v>9</v>
      </c>
      <c r="G12" s="6" t="s">
        <v>9</v>
      </c>
    </row>
    <row r="13" spans="2:9" ht="30" x14ac:dyDescent="0.25">
      <c r="B13" s="5" t="s">
        <v>48</v>
      </c>
      <c r="C13" s="8">
        <f>62.38+65.8</f>
        <v>128.18</v>
      </c>
      <c r="D13" s="9">
        <f>450/10.76</f>
        <v>41.82156133828996</v>
      </c>
      <c r="E13" s="9">
        <f>345/10.76</f>
        <v>32.063197026022308</v>
      </c>
      <c r="F13" s="10">
        <f>430/10.76</f>
        <v>39.962825278810406</v>
      </c>
      <c r="G13" s="33">
        <f>525/10.76</f>
        <v>48.791821561338288</v>
      </c>
      <c r="I13" s="2">
        <f>C13/4</f>
        <v>32.045000000000002</v>
      </c>
    </row>
    <row r="14" spans="2:9" ht="48" hidden="1" customHeight="1" x14ac:dyDescent="0.25">
      <c r="B14" s="5" t="s">
        <v>29</v>
      </c>
      <c r="C14" s="8">
        <v>0</v>
      </c>
      <c r="D14" s="9">
        <v>0</v>
      </c>
      <c r="E14" s="10">
        <v>0</v>
      </c>
      <c r="F14" s="25">
        <v>0</v>
      </c>
      <c r="G14" s="25">
        <v>0</v>
      </c>
    </row>
    <row r="15" spans="2:9" hidden="1" x14ac:dyDescent="0.25">
      <c r="B15" s="5" t="s">
        <v>10</v>
      </c>
      <c r="C15" s="11">
        <f>1-(C14/C13)</f>
        <v>1</v>
      </c>
      <c r="D15" s="11">
        <f>1-(D14/D13)</f>
        <v>1</v>
      </c>
      <c r="E15" s="11">
        <f>1-(E14/E13)</f>
        <v>1</v>
      </c>
      <c r="F15" s="11">
        <f>1-(F14/F13)</f>
        <v>1</v>
      </c>
      <c r="G15" s="26">
        <v>0.37240000000000001</v>
      </c>
    </row>
    <row r="16" spans="2:9" ht="45" hidden="1" x14ac:dyDescent="0.25">
      <c r="B16" s="5" t="s">
        <v>31</v>
      </c>
      <c r="C16" s="8">
        <v>78.53</v>
      </c>
      <c r="D16" s="10"/>
      <c r="E16" s="10"/>
      <c r="F16" s="10">
        <f>1600/10.76</f>
        <v>148.69888475836433</v>
      </c>
      <c r="G16" s="10">
        <f>1600/10.76</f>
        <v>148.69888475836433</v>
      </c>
    </row>
    <row r="17" spans="2:15" ht="30" x14ac:dyDescent="0.25">
      <c r="B17" s="5" t="s">
        <v>11</v>
      </c>
      <c r="C17" s="11"/>
      <c r="D17" s="1" t="s">
        <v>38</v>
      </c>
      <c r="E17" s="1" t="s">
        <v>38</v>
      </c>
      <c r="F17" s="1" t="s">
        <v>38</v>
      </c>
      <c r="G17" s="1" t="s">
        <v>53</v>
      </c>
    </row>
    <row r="18" spans="2:15" x14ac:dyDescent="0.25">
      <c r="B18" s="5" t="s">
        <v>12</v>
      </c>
      <c r="C18" s="5"/>
      <c r="D18" s="12">
        <v>6500000</v>
      </c>
      <c r="E18" s="12">
        <f>(10.76*8000)*E13</f>
        <v>2760000.0000000005</v>
      </c>
      <c r="F18" s="12">
        <v>6670000</v>
      </c>
      <c r="G18" s="12">
        <f>525*14000</f>
        <v>7350000</v>
      </c>
      <c r="K18" s="2" t="e">
        <f>-F13/K17</f>
        <v>#DIV/0!</v>
      </c>
      <c r="O18" s="2" t="s">
        <v>49</v>
      </c>
    </row>
    <row r="19" spans="2:15" ht="30" x14ac:dyDescent="0.25">
      <c r="B19" s="5" t="s">
        <v>13</v>
      </c>
      <c r="C19" s="5"/>
      <c r="D19" s="13">
        <f>D18/D13</f>
        <v>155422.22222222222</v>
      </c>
      <c r="E19" s="13">
        <f>E18/E13</f>
        <v>86080</v>
      </c>
      <c r="F19" s="13">
        <f>F18/F13</f>
        <v>166905.11627906977</v>
      </c>
      <c r="G19" s="13">
        <f>G18/G13</f>
        <v>150640</v>
      </c>
    </row>
    <row r="20" spans="2:15" x14ac:dyDescent="0.25">
      <c r="B20" s="14" t="s">
        <v>14</v>
      </c>
      <c r="C20" s="14"/>
      <c r="D20" s="6"/>
      <c r="E20" s="6"/>
      <c r="F20" s="6"/>
      <c r="G20" s="6"/>
    </row>
    <row r="21" spans="2:15" x14ac:dyDescent="0.25">
      <c r="B21" s="5" t="s">
        <v>15</v>
      </c>
      <c r="C21" s="5"/>
      <c r="D21" s="1">
        <v>-0.05</v>
      </c>
      <c r="E21" s="1">
        <v>-0.03</v>
      </c>
      <c r="F21" s="1">
        <v>-0.05</v>
      </c>
      <c r="G21" s="1">
        <v>-0.03</v>
      </c>
      <c r="J21" s="2">
        <v>1181</v>
      </c>
      <c r="K21" s="2">
        <v>430</v>
      </c>
      <c r="L21" s="24">
        <f>1-K21/J21</f>
        <v>0.63590177815410676</v>
      </c>
    </row>
    <row r="22" spans="2:15" x14ac:dyDescent="0.25">
      <c r="B22" s="5" t="s">
        <v>16</v>
      </c>
      <c r="C22" s="5"/>
      <c r="D22" s="1">
        <v>0</v>
      </c>
      <c r="E22" s="1">
        <v>0</v>
      </c>
      <c r="F22" s="1">
        <v>0</v>
      </c>
      <c r="G22" s="1">
        <v>0</v>
      </c>
    </row>
    <row r="23" spans="2:15" x14ac:dyDescent="0.25">
      <c r="B23" s="5" t="s">
        <v>42</v>
      </c>
      <c r="C23" s="5"/>
      <c r="D23" s="1">
        <v>0</v>
      </c>
      <c r="E23" s="1">
        <v>0</v>
      </c>
      <c r="F23" s="1">
        <v>0</v>
      </c>
      <c r="G23" s="1">
        <v>0</v>
      </c>
    </row>
    <row r="24" spans="2:15" x14ac:dyDescent="0.25">
      <c r="B24" s="5" t="s">
        <v>17</v>
      </c>
      <c r="C24" s="5"/>
      <c r="D24" s="1">
        <v>-0.02</v>
      </c>
      <c r="E24" s="1">
        <v>-0.03</v>
      </c>
      <c r="F24" s="1">
        <v>-0.02</v>
      </c>
      <c r="G24" s="1">
        <v>-0.02</v>
      </c>
    </row>
    <row r="25" spans="2:15" x14ac:dyDescent="0.25">
      <c r="B25" s="5" t="s">
        <v>51</v>
      </c>
      <c r="C25" s="5"/>
      <c r="D25" s="1">
        <v>0</v>
      </c>
      <c r="E25" s="1">
        <v>0</v>
      </c>
      <c r="F25" s="1">
        <v>0</v>
      </c>
      <c r="G25" s="1">
        <v>2.5000000000000001E-2</v>
      </c>
    </row>
    <row r="26" spans="2:15" x14ac:dyDescent="0.25">
      <c r="B26" s="5" t="s">
        <v>24</v>
      </c>
      <c r="C26" s="5"/>
      <c r="D26" s="1">
        <v>0</v>
      </c>
      <c r="E26" s="1">
        <v>0</v>
      </c>
      <c r="F26" s="1">
        <v>0</v>
      </c>
      <c r="G26" s="1">
        <v>0</v>
      </c>
    </row>
    <row r="27" spans="2:15" x14ac:dyDescent="0.25">
      <c r="B27" s="5" t="s">
        <v>39</v>
      </c>
      <c r="C27" s="5"/>
      <c r="D27" s="1">
        <v>-0.05</v>
      </c>
      <c r="E27" s="1">
        <v>-0.02</v>
      </c>
      <c r="F27" s="1">
        <v>-0.05</v>
      </c>
      <c r="G27" s="1">
        <v>-0.05</v>
      </c>
      <c r="H27" s="24">
        <f>0.9/60</f>
        <v>1.5000000000000001E-2</v>
      </c>
    </row>
    <row r="28" spans="2:15" x14ac:dyDescent="0.25">
      <c r="B28" s="14" t="s">
        <v>35</v>
      </c>
      <c r="C28" s="14"/>
      <c r="D28" s="1">
        <f>SUM(D21:D27)</f>
        <v>-0.12000000000000001</v>
      </c>
      <c r="E28" s="1">
        <f>SUM(E21:E27)</f>
        <v>-0.08</v>
      </c>
      <c r="F28" s="1">
        <f>SUM(F21:F27)</f>
        <v>-0.12000000000000001</v>
      </c>
      <c r="G28" s="1">
        <f>SUM(G21:G27)</f>
        <v>-7.5000000000000011E-2</v>
      </c>
    </row>
    <row r="29" spans="2:15" x14ac:dyDescent="0.25">
      <c r="B29" s="15" t="s">
        <v>36</v>
      </c>
      <c r="C29" s="15"/>
      <c r="D29" s="30">
        <f>ABS(D27)+ABS(D24)+ABS(D21)+ABS(D22)+ABS(D23)+ABS(D25)+ABS(D26)</f>
        <v>0.12000000000000001</v>
      </c>
      <c r="E29" s="30">
        <f>ABS(E27)+ABS(E24)+ABS(E21)+ABS(E22)+ABS(E23)+ABS(E25)+ABS(E26)</f>
        <v>0.08</v>
      </c>
      <c r="F29" s="30">
        <f>ABS(F27)+ABS(F24)+ABS(F21)+ABS(F22)+ABS(F23)+ABS(F25)+ABS(F26)</f>
        <v>0.12000000000000001</v>
      </c>
      <c r="G29" s="30">
        <f t="shared" ref="G29" si="0">ABS(G27)+ABS(G24)+ABS(G21)+ABS(G22)+ABS(G23)+ABS(G25)+ABS(G26)</f>
        <v>0.125</v>
      </c>
    </row>
    <row r="30" spans="2:15" x14ac:dyDescent="0.25">
      <c r="B30" s="15" t="s">
        <v>18</v>
      </c>
      <c r="C30" s="15"/>
      <c r="D30" s="16">
        <f>D19+(D19*D28)</f>
        <v>136771.55555555556</v>
      </c>
      <c r="E30" s="16">
        <f>E19+(E19*E28)</f>
        <v>79193.600000000006</v>
      </c>
      <c r="F30" s="16">
        <f>F19+(F19*F28)</f>
        <v>146876.50232558139</v>
      </c>
      <c r="G30" s="16">
        <f>G19+(G19*G28)</f>
        <v>139342</v>
      </c>
    </row>
    <row r="31" spans="2:15" x14ac:dyDescent="0.25">
      <c r="B31" s="15" t="s">
        <v>19</v>
      </c>
      <c r="C31" s="15"/>
      <c r="D31" s="17">
        <v>0.35</v>
      </c>
      <c r="E31" s="17">
        <v>0</v>
      </c>
      <c r="F31" s="17">
        <v>0.35</v>
      </c>
      <c r="G31" s="17">
        <v>0.3</v>
      </c>
    </row>
    <row r="32" spans="2:15" x14ac:dyDescent="0.25">
      <c r="B32" s="15"/>
      <c r="C32" s="15"/>
      <c r="D32" s="32">
        <f t="shared" ref="D32:E32" si="1">D31*D30</f>
        <v>47870.044444444444</v>
      </c>
      <c r="E32" s="32">
        <f t="shared" si="1"/>
        <v>0</v>
      </c>
      <c r="F32" s="32">
        <f t="shared" ref="F32" si="2">F31*F30</f>
        <v>51406.775813953485</v>
      </c>
      <c r="G32" s="32">
        <f>G31*G30</f>
        <v>41802.6</v>
      </c>
      <c r="I32" s="36">
        <f>G32+F32+D32</f>
        <v>141079.42025839793</v>
      </c>
    </row>
    <row r="33" spans="2:10" ht="30.75" customHeight="1" x14ac:dyDescent="0.25">
      <c r="B33" s="38" t="s">
        <v>40</v>
      </c>
      <c r="C33" s="38"/>
      <c r="D33" s="37">
        <f>D32+F32+G32</f>
        <v>141079.42025839793</v>
      </c>
      <c r="E33" s="18" t="s">
        <v>32</v>
      </c>
      <c r="F33" s="18"/>
      <c r="G33" s="18"/>
      <c r="H33" s="2">
        <f>D33/10.76</f>
        <v>13111.470284237726</v>
      </c>
    </row>
    <row r="34" spans="2:10" ht="32.25" customHeight="1" x14ac:dyDescent="0.25">
      <c r="B34" s="40" t="s">
        <v>44</v>
      </c>
      <c r="C34" s="40"/>
      <c r="D34" s="19">
        <f>ROUNDDOWN(D33,-2)</f>
        <v>141000</v>
      </c>
      <c r="E34" s="28"/>
      <c r="F34" s="19"/>
      <c r="G34" s="19"/>
      <c r="H34" s="2">
        <f>D34/10.76</f>
        <v>13104.089219330855</v>
      </c>
      <c r="I34" s="2">
        <f>H34*0.6</f>
        <v>7862.4535315985131</v>
      </c>
    </row>
    <row r="35" spans="2:10" x14ac:dyDescent="0.25">
      <c r="D35" s="20">
        <f>D34*C13</f>
        <v>18073380</v>
      </c>
    </row>
    <row r="36" spans="2:10" x14ac:dyDescent="0.25">
      <c r="E36" s="27" t="s">
        <v>34</v>
      </c>
      <c r="F36" s="27" t="s">
        <v>33</v>
      </c>
    </row>
    <row r="37" spans="2:10" ht="30" x14ac:dyDescent="0.25">
      <c r="C37" s="21" t="s">
        <v>20</v>
      </c>
      <c r="D37" s="21" t="s">
        <v>21</v>
      </c>
      <c r="E37" s="21" t="s">
        <v>22</v>
      </c>
      <c r="F37" s="21" t="s">
        <v>23</v>
      </c>
      <c r="I37" s="2" t="s">
        <v>50</v>
      </c>
    </row>
    <row r="38" spans="2:10" ht="60" x14ac:dyDescent="0.25">
      <c r="C38" s="22" t="str">
        <f>C10</f>
        <v>Office no. 805 &amp; 804, Sankalp Iconice, Bopal Ambli road, Ahmedabad</v>
      </c>
      <c r="D38" s="23">
        <f>ROUND(D35,-3)</f>
        <v>18073000</v>
      </c>
      <c r="E38" s="23">
        <f>D38*85%</f>
        <v>15362050</v>
      </c>
      <c r="F38" s="23">
        <f>D38*75%</f>
        <v>13554750</v>
      </c>
      <c r="I38" s="2">
        <f>8000400+7584674</f>
        <v>15585074</v>
      </c>
      <c r="J38" s="31"/>
    </row>
    <row r="39" spans="2:10" x14ac:dyDescent="0.25">
      <c r="C39" s="39"/>
      <c r="D39" s="39"/>
      <c r="E39" s="39"/>
      <c r="F39" s="39"/>
      <c r="G39" s="39"/>
    </row>
    <row r="40" spans="2:10" x14ac:dyDescent="0.25">
      <c r="B40" s="2" t="s">
        <v>30</v>
      </c>
      <c r="C40" s="2">
        <f>1.306+0.956+6.964</f>
        <v>9.2260000000000009</v>
      </c>
      <c r="D40" s="2">
        <v>6.2389999999999999</v>
      </c>
      <c r="E40" s="29">
        <f>E38/C13</f>
        <v>119847.48010610079</v>
      </c>
      <c r="F40" s="2">
        <f>D40*C40</f>
        <v>57.561014000000007</v>
      </c>
    </row>
    <row r="41" spans="2:10" x14ac:dyDescent="0.25">
      <c r="C41" s="2">
        <v>7.0190000000000001</v>
      </c>
      <c r="D41" s="2">
        <f>3.159+5.451</f>
        <v>8.61</v>
      </c>
      <c r="E41" s="29">
        <f>E40/10.76</f>
        <v>11138.2416455484</v>
      </c>
      <c r="F41" s="2">
        <f>D41*C41</f>
        <v>60.433589999999995</v>
      </c>
    </row>
    <row r="42" spans="2:10" x14ac:dyDescent="0.25">
      <c r="F42" s="35">
        <f>SUM(F40:F41)</f>
        <v>117.99460400000001</v>
      </c>
    </row>
    <row r="43" spans="2:10" x14ac:dyDescent="0.25">
      <c r="F43" s="34"/>
    </row>
    <row r="47" spans="2:10" x14ac:dyDescent="0.25">
      <c r="D47" s="31"/>
    </row>
  </sheetData>
  <mergeCells count="3">
    <mergeCell ref="B33:C33"/>
    <mergeCell ref="C39:G39"/>
    <mergeCell ref="B34:C3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Working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Ronak Prajapati</dc:creator>
  <cp:lastModifiedBy>VASTUKALA-22</cp:lastModifiedBy>
  <dcterms:created xsi:type="dcterms:W3CDTF">2022-06-22T07:09:56Z</dcterms:created>
  <dcterms:modified xsi:type="dcterms:W3CDTF">2024-02-13T06:30:56Z</dcterms:modified>
</cp:coreProperties>
</file>