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Heena Do Shri. Yograj Kharche - Jetpura\"/>
    </mc:Choice>
  </mc:AlternateContent>
  <xr:revisionPtr revIDLastSave="0" documentId="13_ncr:1_{9A8D0BCF-1328-40E1-B61F-D667A0B359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" sheetId="3" r:id="rId1"/>
    <sheet name="Sheet1" sheetId="4" r:id="rId2"/>
  </sheets>
  <calcPr calcId="191029"/>
</workbook>
</file>

<file path=xl/calcChain.xml><?xml version="1.0" encoding="utf-8"?>
<calcChain xmlns="http://schemas.openxmlformats.org/spreadsheetml/2006/main">
  <c r="Q48" i="3" l="1"/>
  <c r="Q47" i="3"/>
  <c r="Q46" i="3"/>
  <c r="P48" i="3"/>
  <c r="E71" i="3"/>
  <c r="D71" i="3"/>
  <c r="D70" i="3"/>
  <c r="C71" i="3"/>
  <c r="C70" i="3"/>
  <c r="C68" i="3"/>
  <c r="G60" i="3"/>
  <c r="G59" i="3"/>
  <c r="G58" i="3"/>
  <c r="G57" i="3"/>
  <c r="G56" i="3"/>
  <c r="E52" i="3"/>
  <c r="E44" i="3"/>
  <c r="P25" i="3"/>
  <c r="N25" i="3"/>
  <c r="M65" i="3"/>
  <c r="M64" i="3"/>
  <c r="L61" i="3"/>
  <c r="N40" i="3"/>
  <c r="M37" i="3"/>
  <c r="K29" i="3"/>
  <c r="J32" i="3"/>
  <c r="J34" i="3" s="1"/>
  <c r="K34" i="3" s="1"/>
  <c r="J29" i="3"/>
  <c r="J2" i="3" l="1"/>
  <c r="C11" i="3"/>
  <c r="N18" i="3"/>
  <c r="M17" i="3"/>
  <c r="J20" i="3" l="1"/>
  <c r="K20" i="3" s="1"/>
  <c r="J21" i="3"/>
  <c r="K21" i="3" s="1"/>
  <c r="J19" i="3"/>
  <c r="K19" i="3" s="1"/>
  <c r="I22" i="3"/>
  <c r="J22" i="3" s="1"/>
  <c r="C2" i="3" l="1"/>
  <c r="K22" i="3"/>
  <c r="K2" i="3"/>
  <c r="H8" i="3"/>
  <c r="I8" i="3" s="1"/>
  <c r="H9" i="3"/>
  <c r="I9" i="3" s="1"/>
  <c r="H10" i="3"/>
  <c r="C21" i="3" l="1"/>
  <c r="C27" i="3" s="1"/>
  <c r="C16" i="3"/>
  <c r="C26" i="3" s="1"/>
  <c r="O10" i="3"/>
  <c r="J10" i="3"/>
  <c r="K10" i="3" s="1"/>
  <c r="L10" i="3" s="1"/>
  <c r="N10" i="3" s="1"/>
  <c r="M10" i="3" s="1"/>
  <c r="O9" i="3"/>
  <c r="O8" i="3"/>
  <c r="C4" i="3"/>
  <c r="C24" i="3" s="1"/>
  <c r="X3" i="3"/>
  <c r="Y3" i="3" s="1"/>
  <c r="I3" i="3"/>
  <c r="L2" i="3" l="1"/>
  <c r="J8" i="3"/>
  <c r="K8" i="3" s="1"/>
  <c r="L8" i="3" s="1"/>
  <c r="J9" i="3"/>
  <c r="K9" i="3" s="1"/>
  <c r="L9" i="3" s="1"/>
  <c r="N9" i="3" s="1"/>
  <c r="M9" i="3" s="1"/>
  <c r="O11" i="3"/>
  <c r="C31" i="3" s="1"/>
  <c r="C32" i="3" s="1"/>
  <c r="N8" i="3" l="1"/>
  <c r="M8" i="3" s="1"/>
  <c r="L11" i="3"/>
  <c r="M11" i="3"/>
  <c r="N11" i="3" l="1"/>
  <c r="C25" i="3" s="1"/>
  <c r="C28" i="3" s="1"/>
  <c r="P2" i="3" s="1"/>
  <c r="S2" i="3" s="1"/>
  <c r="C29" i="3" l="1"/>
  <c r="P3" i="3" s="1"/>
  <c r="S3" i="3" s="1"/>
  <c r="C30" i="3"/>
  <c r="P4" i="3"/>
  <c r="S4" i="3" s="1"/>
  <c r="L3" i="3"/>
  <c r="L4" i="3" s="1"/>
</calcChain>
</file>

<file path=xl/sharedStrings.xml><?xml version="1.0" encoding="utf-8"?>
<sst xmlns="http://schemas.openxmlformats.org/spreadsheetml/2006/main" count="117" uniqueCount="91">
  <si>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</si>
  <si>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</si>
  <si>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</si>
  <si>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</si>
  <si>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</si>
  <si>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</si>
  <si>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</si>
  <si>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</si>
  <si>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</si>
  <si>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</si>
  <si>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</si>
  <si>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</si>
  <si>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</si>
  <si>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</si>
  <si>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</si>
  <si>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</si>
  <si>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</si>
  <si>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</si>
  <si>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</si>
  <si>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</si>
  <si>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</si>
  <si>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</si>
  <si>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</si>
  <si>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</si>
  <si>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</si>
  <si>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</si>
  <si>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</si>
  <si>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</si>
  <si>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</si>
  <si>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</si>
  <si>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</si>
  <si>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</si>
  <si>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</si>
  <si>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</si>
  <si>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</si>
  <si>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</si>
  <si>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</si>
  <si>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</si>
  <si>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</si>
  <si>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</si>
  <si>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</si>
  <si>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</si>
  <si>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502/2/1</t>
  </si>
  <si>
    <t>502/2/2</t>
  </si>
  <si>
    <t>502/1/3</t>
  </si>
  <si>
    <t>Total</t>
  </si>
  <si>
    <t>Survey No.</t>
  </si>
  <si>
    <t>Hac.</t>
  </si>
  <si>
    <t>Sq. M.</t>
  </si>
  <si>
    <t>Area Steatment</t>
  </si>
  <si>
    <t>Smt. Heena D/o Yograj Kharche</t>
  </si>
  <si>
    <t>Smt. Vimal W/o Eknath Narkhede</t>
  </si>
  <si>
    <t>Clint Name</t>
  </si>
  <si>
    <t>Smt. Sulochna W/o Yograj Kharche</t>
  </si>
  <si>
    <t>Reanewal Approved Plan</t>
  </si>
  <si>
    <t>BUA-</t>
  </si>
  <si>
    <t>z</t>
  </si>
  <si>
    <t>Office</t>
  </si>
  <si>
    <t>Tin Shed</t>
  </si>
  <si>
    <t>Rcc</t>
  </si>
  <si>
    <t>Hectare</t>
  </si>
  <si>
    <t>Sale Deed No.</t>
  </si>
  <si>
    <t>1A / 4089</t>
  </si>
  <si>
    <t>502/2/1 Paiki</t>
  </si>
  <si>
    <t>Owner's Name</t>
  </si>
  <si>
    <t>Area in Hectare</t>
  </si>
  <si>
    <t>Area in Sq. M.</t>
  </si>
  <si>
    <t>(Sq. M.)</t>
  </si>
  <si>
    <t>per bigha</t>
  </si>
  <si>
    <t>owner</t>
  </si>
  <si>
    <t>local enquiry</t>
  </si>
  <si>
    <t>6 Acres</t>
  </si>
  <si>
    <t>1st Office</t>
  </si>
  <si>
    <t>2nd Office</t>
  </si>
  <si>
    <t>Ground Floor</t>
  </si>
  <si>
    <t xml:space="preserve">1st Floor </t>
  </si>
  <si>
    <t>Owner Occupied</t>
  </si>
  <si>
    <t>1st Godown</t>
  </si>
  <si>
    <t>Vacant</t>
  </si>
  <si>
    <t>2nd Godown</t>
  </si>
  <si>
    <t>Tenant Occupied - Join Diar</t>
  </si>
  <si>
    <t>Particular</t>
  </si>
  <si>
    <t xml:space="preserve">Carpet Area In </t>
  </si>
  <si>
    <t>Total Tin Shed Godown</t>
  </si>
  <si>
    <t>Total RCC (Office)</t>
  </si>
  <si>
    <t>Area In Sq. M.</t>
  </si>
  <si>
    <t>Existing Built-up Area</t>
  </si>
  <si>
    <t>New Built-up Area</t>
  </si>
  <si>
    <t>Total Built-up Area</t>
  </si>
  <si>
    <t>Old Structure</t>
  </si>
  <si>
    <t>New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</si>
</sst>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1" fillId="0" borderId="0" xfId="0" applyFont="1" applyAlignment="1">
      <alignment horizontal="right" vertical="center" wrapText="1"/>
    </xf>
    <xf numFmtId="2" fontId="9" fillId="0" borderId="0" xfId="0" applyNumberFormat="1" applyFont="1"/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164" fontId="11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9" fillId="0" borderId="0" xfId="0" applyFont="1" applyAlignment="1">
      <alignment horizontal="right" vertical="top" wrapText="1"/>
    </xf>
    <xf numFmtId="2" fontId="16" fillId="0" borderId="0" xfId="0" applyNumberFormat="1" applyFont="1"/>
    <xf numFmtId="2" fontId="16" fillId="0" borderId="0" xfId="0" applyNumberFormat="1" applyFont="1" applyAlignment="1">
      <alignment horizontal="right" vertical="center" wrapText="1"/>
    </xf>
    <xf numFmtId="4" fontId="9" fillId="0" borderId="0" xfId="0" applyNumberFormat="1" applyFont="1"/>
    <xf numFmtId="0" fontId="16" fillId="0" borderId="0" xfId="0" applyFont="1" applyAlignment="1">
      <alignment horizontal="center" vertical="top"/>
    </xf>
    <xf numFmtId="0" fontId="16" fillId="0" borderId="0" xfId="0" applyFont="1"/>
    <xf numFmtId="4" fontId="16" fillId="0" borderId="0" xfId="0" applyNumberFormat="1" applyFont="1"/>
    <xf numFmtId="164" fontId="9" fillId="0" borderId="0" xfId="0" applyNumberFormat="1" applyFo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4" fontId="16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1" fillId="0" borderId="1" xfId="0" applyNumberFormat="1" applyFont="1" applyBorder="1"/>
    <xf numFmtId="0" fontId="1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165" fontId="16" fillId="0" borderId="1" xfId="1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top"/>
    </xf>
    <xf numFmtId="165" fontId="1" fillId="0" borderId="0" xfId="1" applyNumberFormat="1" applyFont="1"/>
    <xf numFmtId="4" fontId="16" fillId="0" borderId="0" xfId="0" applyNumberFormat="1" applyFont="1" applyAlignment="1">
      <alignment horizontal="left" vertical="top" wrapText="1"/>
    </xf>
    <xf numFmtId="2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1" fontId="3" fillId="0" borderId="0" xfId="0" applyNumberFormat="1" applyFont="1"/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43" fontId="9" fillId="0" borderId="0" xfId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3" fontId="1" fillId="0" borderId="0" xfId="1" applyFont="1"/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8"/>
  <sheetViews>
    <sheetView tabSelected="1" zoomScale="85" zoomScaleNormal="85" workbookViewId="0">
      <selection activeCell="C32" sqref="C32"/>
    </sheetView>
  </sheetViews>
  <sheetFormatPr defaultRowHeight="16.5" x14ac:dyDescent="0.3"/>
  <cols>
    <col min="1" max="1" width="9.140625" style="33"/>
    <col min="2" max="2" width="19.5703125" style="2" bestFit="1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6" width="12.140625" style="7" customWidth="1"/>
    <col min="7" max="7" width="28.140625" style="7" customWidth="1"/>
    <col min="8" max="8" width="15.28515625" style="7" bestFit="1" customWidth="1"/>
    <col min="9" max="9" width="11.85546875" style="7" customWidth="1"/>
    <col min="10" max="10" width="12.42578125" style="1" bestFit="1" customWidth="1"/>
    <col min="11" max="11" width="13.140625" style="7" customWidth="1"/>
    <col min="12" max="12" width="29.140625" style="1" bestFit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12.7109375" style="1" bestFit="1" customWidth="1"/>
    <col min="18" max="18" width="9.140625" style="1"/>
    <col min="19" max="20" width="10.28515625" style="1" bestFit="1" customWidth="1"/>
    <col min="21" max="24" width="9.140625" style="1"/>
    <col min="25" max="25" width="11" style="1" bestFit="1" customWidth="1"/>
    <col min="26" max="16384" width="9.140625" style="1"/>
  </cols>
  <sheetData>
    <row r="1" spans="1:25" x14ac:dyDescent="0.3">
      <c r="B1" s="13" t="s">
        <v>13</v>
      </c>
      <c r="H1" s="7" t="s">
        <v>39</v>
      </c>
      <c r="K1" s="7" t="s">
        <v>26</v>
      </c>
      <c r="O1" s="7" t="s">
        <v>34</v>
      </c>
    </row>
    <row r="2" spans="1:25" x14ac:dyDescent="0.3">
      <c r="B2" s="22" t="s">
        <v>11</v>
      </c>
      <c r="C2" s="88">
        <f>J22</f>
        <v>21530</v>
      </c>
      <c r="E2" s="25"/>
      <c r="F2" s="25"/>
      <c r="G2" s="87"/>
      <c r="H2" s="1" t="s">
        <v>40</v>
      </c>
      <c r="I2" s="55">
        <v>7000</v>
      </c>
      <c r="J2" s="55">
        <f>I2</f>
        <v>7000</v>
      </c>
      <c r="K2" s="55">
        <f>C2</f>
        <v>21530</v>
      </c>
      <c r="L2" s="44">
        <f>J2*K2</f>
        <v>150710000</v>
      </c>
      <c r="O2" s="51" t="s">
        <v>36</v>
      </c>
      <c r="P2" s="52">
        <f>C28</f>
        <v>151076384</v>
      </c>
      <c r="Q2" s="53"/>
      <c r="R2" s="7" t="s">
        <v>34</v>
      </c>
      <c r="S2" s="19">
        <f>P2*0.025/12</f>
        <v>314742.46666666667</v>
      </c>
      <c r="T2" s="17" t="s">
        <v>35</v>
      </c>
    </row>
    <row r="3" spans="1:25" x14ac:dyDescent="0.3">
      <c r="B3" s="23" t="s">
        <v>6</v>
      </c>
      <c r="C3" s="43">
        <v>3700</v>
      </c>
      <c r="D3" s="15"/>
      <c r="E3" s="21"/>
      <c r="F3" s="21"/>
      <c r="G3" s="15"/>
      <c r="H3" s="1" t="s">
        <v>41</v>
      </c>
      <c r="I3" s="55">
        <f>MROUND(I2/10.764,1)</f>
        <v>650</v>
      </c>
      <c r="J3" s="55"/>
      <c r="K3" s="44"/>
      <c r="L3" s="44">
        <f>N11</f>
        <v>71415384</v>
      </c>
      <c r="O3" s="51" t="s">
        <v>36</v>
      </c>
      <c r="P3" s="52">
        <f>C29</f>
        <v>135968746</v>
      </c>
      <c r="Q3" s="53"/>
      <c r="R3" s="7"/>
      <c r="S3" s="19">
        <f>P3*0.04/12</f>
        <v>453229.15333333332</v>
      </c>
      <c r="T3" s="54" t="s">
        <v>37</v>
      </c>
      <c r="V3" s="1">
        <v>250000</v>
      </c>
      <c r="W3" s="1">
        <v>12</v>
      </c>
      <c r="X3" s="1">
        <f>V3*W3</f>
        <v>3000000</v>
      </c>
      <c r="Y3" s="1">
        <f>X3/0.04*100</f>
        <v>7500000000</v>
      </c>
    </row>
    <row r="4" spans="1:25" x14ac:dyDescent="0.3">
      <c r="B4" s="27" t="s">
        <v>18</v>
      </c>
      <c r="C4" s="44">
        <f>ROUND((C2*C3),0)</f>
        <v>79661000</v>
      </c>
      <c r="F4" s="21"/>
      <c r="G4" s="21"/>
      <c r="I4" s="44"/>
      <c r="J4" s="55"/>
      <c r="K4" s="44"/>
      <c r="L4" s="44">
        <f>SUM(L2:L3)</f>
        <v>222125384</v>
      </c>
      <c r="O4" s="51" t="s">
        <v>36</v>
      </c>
      <c r="P4" s="52">
        <f>C28</f>
        <v>151076384</v>
      </c>
      <c r="Q4" s="53"/>
      <c r="R4" s="7"/>
      <c r="S4" s="19">
        <f>P4*0.033/12</f>
        <v>415460.05600000004</v>
      </c>
      <c r="T4" s="17" t="s">
        <v>38</v>
      </c>
    </row>
    <row r="5" spans="1:25" x14ac:dyDescent="0.3">
      <c r="B5" s="13" t="s">
        <v>14</v>
      </c>
    </row>
    <row r="6" spans="1:25" s="3" customFormat="1" ht="60" x14ac:dyDescent="0.2">
      <c r="A6" s="34" t="s">
        <v>24</v>
      </c>
      <c r="B6" s="4" t="s">
        <v>28</v>
      </c>
      <c r="C6" s="4" t="s">
        <v>31</v>
      </c>
      <c r="D6" s="4" t="s">
        <v>0</v>
      </c>
      <c r="E6" s="4" t="s">
        <v>1</v>
      </c>
      <c r="F6" s="4" t="s">
        <v>2</v>
      </c>
      <c r="G6" s="35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36" t="s">
        <v>27</v>
      </c>
      <c r="N6" s="5" t="s">
        <v>17</v>
      </c>
      <c r="O6" s="5" t="s">
        <v>23</v>
      </c>
    </row>
    <row r="7" spans="1:25" s="3" customFormat="1" ht="15.75" thickBot="1" x14ac:dyDescent="0.25">
      <c r="A7" s="34"/>
      <c r="B7" s="4"/>
      <c r="C7" s="5" t="s">
        <v>67</v>
      </c>
      <c r="D7" s="4"/>
      <c r="E7" s="4"/>
      <c r="F7" s="4"/>
      <c r="G7" s="35" t="s">
        <v>32</v>
      </c>
      <c r="H7" s="5"/>
      <c r="I7" s="5"/>
      <c r="J7" s="8"/>
      <c r="K7" s="8"/>
      <c r="L7" s="8" t="s">
        <v>33</v>
      </c>
      <c r="M7" s="8" t="s">
        <v>33</v>
      </c>
      <c r="N7" s="8" t="s">
        <v>33</v>
      </c>
      <c r="O7" s="8" t="s">
        <v>33</v>
      </c>
    </row>
    <row r="8" spans="1:25" s="11" customFormat="1" ht="17.25" thickBot="1" x14ac:dyDescent="0.3">
      <c r="A8" s="40">
        <v>1</v>
      </c>
      <c r="B8" s="128" t="s">
        <v>89</v>
      </c>
      <c r="C8" s="129">
        <v>2394.92</v>
      </c>
      <c r="D8" s="41">
        <v>2016</v>
      </c>
      <c r="E8" s="41">
        <v>2024</v>
      </c>
      <c r="F8" s="41">
        <v>50</v>
      </c>
      <c r="G8" s="45">
        <v>16000</v>
      </c>
      <c r="H8" s="46">
        <f t="shared" ref="H8:H10" si="0">E8-D8</f>
        <v>8</v>
      </c>
      <c r="I8" s="46">
        <f>F8-H8</f>
        <v>42</v>
      </c>
      <c r="J8" s="46">
        <f t="shared" ref="J8:J10" si="1">IF(H8&gt;=5,90*H8/F8,0)</f>
        <v>14.4</v>
      </c>
      <c r="K8" s="46">
        <f t="shared" ref="K8:K10" si="2">G8/100*J8</f>
        <v>2304</v>
      </c>
      <c r="L8" s="46">
        <f t="shared" ref="L8:L10" si="3">ROUND((G8-K8),0)</f>
        <v>13696</v>
      </c>
      <c r="M8" s="46">
        <f t="shared" ref="M8:M10" si="4">O8-N8</f>
        <v>5517896</v>
      </c>
      <c r="N8" s="46">
        <f t="shared" ref="N8:N10" si="5">ROUND((L8*C8),0)</f>
        <v>32800824</v>
      </c>
      <c r="O8" s="46">
        <f t="shared" ref="O8:O10" si="6">ROUND((C8*G8),0)</f>
        <v>38318720</v>
      </c>
    </row>
    <row r="9" spans="1:25" s="11" customFormat="1" ht="17.25" thickBot="1" x14ac:dyDescent="0.3">
      <c r="A9" s="42"/>
      <c r="B9" s="125" t="s">
        <v>90</v>
      </c>
      <c r="C9" s="119">
        <v>2413.41</v>
      </c>
      <c r="D9" s="41">
        <v>2020</v>
      </c>
      <c r="E9" s="41">
        <v>2024</v>
      </c>
      <c r="F9" s="41">
        <v>50</v>
      </c>
      <c r="G9" s="45">
        <v>16000</v>
      </c>
      <c r="H9" s="46">
        <f t="shared" si="0"/>
        <v>4</v>
      </c>
      <c r="I9" s="46">
        <f t="shared" ref="I9" si="7">F9-H9</f>
        <v>46</v>
      </c>
      <c r="J9" s="46">
        <f t="shared" si="1"/>
        <v>0</v>
      </c>
      <c r="K9" s="46">
        <f t="shared" si="2"/>
        <v>0</v>
      </c>
      <c r="L9" s="46">
        <f t="shared" si="3"/>
        <v>16000</v>
      </c>
      <c r="M9" s="46">
        <f t="shared" si="4"/>
        <v>0</v>
      </c>
      <c r="N9" s="46">
        <f t="shared" si="5"/>
        <v>38614560</v>
      </c>
      <c r="O9" s="46">
        <f t="shared" si="6"/>
        <v>38614560</v>
      </c>
    </row>
    <row r="10" spans="1:25" s="11" customFormat="1" ht="17.25" customHeight="1" x14ac:dyDescent="0.3">
      <c r="A10" s="40"/>
      <c r="B10" s="37"/>
      <c r="C10" s="98"/>
      <c r="D10" s="41"/>
      <c r="E10" s="41"/>
      <c r="F10" s="41"/>
      <c r="G10" s="45"/>
      <c r="H10" s="46">
        <f t="shared" si="0"/>
        <v>0</v>
      </c>
      <c r="I10" s="46"/>
      <c r="J10" s="46">
        <f t="shared" si="1"/>
        <v>0</v>
      </c>
      <c r="K10" s="46">
        <f t="shared" si="2"/>
        <v>0</v>
      </c>
      <c r="L10" s="46">
        <f t="shared" si="3"/>
        <v>0</v>
      </c>
      <c r="M10" s="46">
        <f t="shared" si="4"/>
        <v>0</v>
      </c>
      <c r="N10" s="46">
        <f t="shared" si="5"/>
        <v>0</v>
      </c>
      <c r="O10" s="46">
        <f t="shared" si="6"/>
        <v>0</v>
      </c>
    </row>
    <row r="11" spans="1:25" x14ac:dyDescent="0.3">
      <c r="A11" s="23"/>
      <c r="B11" s="38"/>
      <c r="C11" s="99">
        <f>SUM(C8:C10)</f>
        <v>4808.33</v>
      </c>
      <c r="D11" s="39"/>
      <c r="E11" s="39"/>
      <c r="F11" s="6"/>
      <c r="G11" s="46"/>
      <c r="H11" s="46"/>
      <c r="I11" s="46"/>
      <c r="J11" s="48"/>
      <c r="K11" s="46"/>
      <c r="L11" s="48">
        <f>SUM(L8:L10)</f>
        <v>29696</v>
      </c>
      <c r="M11" s="46">
        <f>SUM(M8:M10)</f>
        <v>5517896</v>
      </c>
      <c r="N11" s="46">
        <f>SUM(N8:N10)</f>
        <v>71415384</v>
      </c>
      <c r="O11" s="46">
        <f>SUM(O8:O10)</f>
        <v>76933280</v>
      </c>
    </row>
    <row r="12" spans="1:25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5"/>
      <c r="L12" s="16"/>
      <c r="M12" s="12"/>
      <c r="N12" s="24"/>
      <c r="O12" s="24"/>
    </row>
    <row r="13" spans="1:25" x14ac:dyDescent="0.3">
      <c r="B13" s="110" t="s">
        <v>20</v>
      </c>
      <c r="C13" s="110"/>
      <c r="D13" s="11"/>
      <c r="E13" s="11"/>
      <c r="F13" s="12"/>
      <c r="G13" s="12"/>
      <c r="H13" s="12"/>
      <c r="I13" s="12"/>
      <c r="J13" s="11"/>
      <c r="K13" s="15"/>
      <c r="L13" s="16"/>
      <c r="M13" s="12"/>
      <c r="N13" s="24"/>
      <c r="O13" s="24"/>
    </row>
    <row r="14" spans="1:25" x14ac:dyDescent="0.3">
      <c r="B14" s="22" t="s">
        <v>19</v>
      </c>
      <c r="C14" s="49">
        <v>0</v>
      </c>
      <c r="D14" s="11"/>
      <c r="E14" s="11"/>
      <c r="F14" s="12"/>
      <c r="G14" s="12"/>
      <c r="H14" s="12"/>
      <c r="I14" s="12"/>
      <c r="J14" s="11"/>
      <c r="K14" s="15"/>
      <c r="L14" s="16"/>
      <c r="M14" s="12"/>
      <c r="N14" s="24"/>
      <c r="O14" s="24"/>
    </row>
    <row r="15" spans="1:25" x14ac:dyDescent="0.3">
      <c r="B15" s="23" t="s">
        <v>6</v>
      </c>
      <c r="C15" s="43">
        <v>0</v>
      </c>
      <c r="D15" s="11"/>
      <c r="E15" s="11"/>
      <c r="F15" s="12"/>
      <c r="G15" s="12"/>
      <c r="H15" s="12"/>
      <c r="I15" s="12"/>
      <c r="J15" s="11"/>
      <c r="K15" s="15"/>
      <c r="L15" s="16"/>
      <c r="M15" s="12"/>
      <c r="N15" s="24"/>
      <c r="O15" s="24"/>
    </row>
    <row r="16" spans="1:25" x14ac:dyDescent="0.3">
      <c r="B16" s="23" t="s">
        <v>7</v>
      </c>
      <c r="C16" s="47">
        <f>ROUND((C14*C15),0)</f>
        <v>0</v>
      </c>
      <c r="D16" s="11"/>
      <c r="E16" s="11"/>
      <c r="F16" s="12"/>
      <c r="G16" s="12"/>
      <c r="H16" s="12"/>
      <c r="I16" s="12"/>
      <c r="J16" s="11"/>
      <c r="K16" s="15"/>
      <c r="L16" s="16"/>
      <c r="M16" s="12">
        <v>350</v>
      </c>
      <c r="N16" s="24"/>
      <c r="O16" s="24"/>
    </row>
    <row r="17" spans="1:16" x14ac:dyDescent="0.3">
      <c r="B17" s="10"/>
      <c r="C17" s="11"/>
      <c r="D17" s="11"/>
      <c r="E17" s="11"/>
      <c r="F17" s="12"/>
      <c r="G17" s="113" t="s">
        <v>49</v>
      </c>
      <c r="H17" s="113"/>
      <c r="I17" s="113"/>
      <c r="J17" s="113"/>
      <c r="K17" s="113"/>
      <c r="L17" s="16" t="s">
        <v>56</v>
      </c>
      <c r="M17" s="12">
        <f>M16*10.764</f>
        <v>3767.3999999999996</v>
      </c>
      <c r="N17" s="24">
        <v>1500</v>
      </c>
      <c r="O17" s="24"/>
    </row>
    <row r="18" spans="1:16" ht="22.5" customHeight="1" x14ac:dyDescent="0.3">
      <c r="B18" s="111" t="s">
        <v>15</v>
      </c>
      <c r="C18" s="112"/>
      <c r="D18" s="11"/>
      <c r="E18" s="11"/>
      <c r="F18" s="12"/>
      <c r="G18" s="89" t="s">
        <v>52</v>
      </c>
      <c r="H18" s="89" t="s">
        <v>46</v>
      </c>
      <c r="I18" s="89" t="s">
        <v>47</v>
      </c>
      <c r="J18" s="89" t="s">
        <v>48</v>
      </c>
      <c r="K18" s="89" t="s">
        <v>41</v>
      </c>
      <c r="L18" s="11"/>
      <c r="M18" s="12"/>
      <c r="N18" s="12">
        <f>N17*10.764</f>
        <v>16145.999999999998</v>
      </c>
      <c r="O18" s="12"/>
    </row>
    <row r="19" spans="1:16" x14ac:dyDescent="0.3">
      <c r="B19" s="22" t="s">
        <v>11</v>
      </c>
      <c r="C19" s="49">
        <v>0</v>
      </c>
      <c r="E19" s="25"/>
      <c r="F19" s="25"/>
      <c r="G19" s="92" t="s">
        <v>53</v>
      </c>
      <c r="H19" s="90" t="s">
        <v>42</v>
      </c>
      <c r="I19" s="90">
        <v>0.05</v>
      </c>
      <c r="J19" s="93">
        <f>I19*10000</f>
        <v>500</v>
      </c>
      <c r="K19" s="95">
        <f>J19*10.764</f>
        <v>5382</v>
      </c>
      <c r="L19" s="20"/>
    </row>
    <row r="20" spans="1:16" x14ac:dyDescent="0.3">
      <c r="B20" s="23" t="s">
        <v>6</v>
      </c>
      <c r="C20" s="43">
        <v>0</v>
      </c>
      <c r="D20" s="15"/>
      <c r="E20" s="21"/>
      <c r="F20" s="21"/>
      <c r="G20" s="97" t="s">
        <v>50</v>
      </c>
      <c r="H20" s="90" t="s">
        <v>43</v>
      </c>
      <c r="I20" s="90">
        <v>0.36099999999999999</v>
      </c>
      <c r="J20" s="93">
        <f t="shared" ref="J20:J22" si="8">I20*10000</f>
        <v>3610</v>
      </c>
      <c r="K20" s="95">
        <f t="shared" ref="K20:K22" si="9">J20*10.764</f>
        <v>38858.04</v>
      </c>
      <c r="L20" s="20"/>
    </row>
    <row r="21" spans="1:16" x14ac:dyDescent="0.3">
      <c r="B21" s="23" t="s">
        <v>7</v>
      </c>
      <c r="C21" s="47">
        <f>ROUND((C19*C20),0)</f>
        <v>0</v>
      </c>
      <c r="D21" s="9"/>
      <c r="E21" s="69"/>
      <c r="F21" s="70"/>
      <c r="G21" s="92" t="s">
        <v>51</v>
      </c>
      <c r="H21" s="91" t="s">
        <v>44</v>
      </c>
      <c r="I21" s="90">
        <v>1.742</v>
      </c>
      <c r="J21" s="93">
        <f t="shared" si="8"/>
        <v>17420</v>
      </c>
      <c r="K21" s="95">
        <f t="shared" si="9"/>
        <v>187508.87999999998</v>
      </c>
      <c r="L21" s="20" t="s">
        <v>54</v>
      </c>
      <c r="M21" s="7" t="s">
        <v>55</v>
      </c>
    </row>
    <row r="22" spans="1:16" x14ac:dyDescent="0.3">
      <c r="B22" s="33"/>
      <c r="C22" s="18"/>
      <c r="D22" s="9"/>
      <c r="E22" s="69"/>
      <c r="F22" s="70"/>
      <c r="G22" s="92"/>
      <c r="H22" s="92" t="s">
        <v>45</v>
      </c>
      <c r="I22" s="89">
        <f>SUM(I19:I21)</f>
        <v>2.153</v>
      </c>
      <c r="J22" s="94">
        <f t="shared" si="8"/>
        <v>21530</v>
      </c>
      <c r="K22" s="96">
        <f t="shared" si="9"/>
        <v>231748.91999999998</v>
      </c>
      <c r="L22" s="20"/>
    </row>
    <row r="23" spans="1:16" x14ac:dyDescent="0.3">
      <c r="C23" s="9" t="s">
        <v>22</v>
      </c>
      <c r="D23" s="9"/>
      <c r="E23" s="69"/>
      <c r="F23" s="68"/>
      <c r="G23" s="21"/>
      <c r="H23" s="69"/>
      <c r="I23" s="14"/>
      <c r="K23" s="56"/>
      <c r="L23" s="57"/>
    </row>
    <row r="24" spans="1:16" x14ac:dyDescent="0.3">
      <c r="B24" s="2" t="s">
        <v>13</v>
      </c>
      <c r="C24" s="44">
        <f>C4</f>
        <v>79661000</v>
      </c>
      <c r="D24" s="18"/>
      <c r="E24" s="68"/>
      <c r="F24" s="68"/>
      <c r="G24" s="68"/>
      <c r="H24" s="71"/>
      <c r="I24" s="19"/>
      <c r="K24" s="56"/>
      <c r="L24" s="57"/>
    </row>
    <row r="25" spans="1:16" x14ac:dyDescent="0.3">
      <c r="B25" s="2" t="s">
        <v>14</v>
      </c>
      <c r="C25" s="44">
        <f>N11</f>
        <v>71415384</v>
      </c>
      <c r="D25" s="18"/>
      <c r="E25" s="84"/>
      <c r="F25" s="84"/>
      <c r="G25" s="84"/>
      <c r="H25" s="83"/>
      <c r="I25" s="83"/>
      <c r="J25" s="83"/>
      <c r="K25" s="58"/>
      <c r="L25" s="57"/>
      <c r="N25" s="7">
        <f>16000/10.764</f>
        <v>1486.4362690449648</v>
      </c>
      <c r="P25" s="1">
        <f>1500*10.764</f>
        <v>16145.999999999998</v>
      </c>
    </row>
    <row r="26" spans="1:16" ht="33" x14ac:dyDescent="0.3">
      <c r="B26" s="2" t="s">
        <v>21</v>
      </c>
      <c r="C26" s="44">
        <f>C16</f>
        <v>0</v>
      </c>
      <c r="D26" s="18"/>
      <c r="E26" s="84"/>
      <c r="F26" s="85"/>
      <c r="G26" s="84"/>
      <c r="H26" s="83"/>
      <c r="I26" s="83"/>
      <c r="J26" s="83"/>
      <c r="L26" s="19"/>
    </row>
    <row r="27" spans="1:16" x14ac:dyDescent="0.3">
      <c r="A27" s="1"/>
      <c r="B27" s="2" t="s">
        <v>12</v>
      </c>
      <c r="C27" s="44">
        <f>C21</f>
        <v>0</v>
      </c>
      <c r="D27" s="18"/>
      <c r="E27" s="84"/>
      <c r="F27" s="84"/>
      <c r="G27" s="84"/>
      <c r="H27" s="83"/>
      <c r="I27" s="83"/>
      <c r="J27" s="84">
        <v>26170</v>
      </c>
      <c r="L27" s="19"/>
    </row>
    <row r="28" spans="1:16" x14ac:dyDescent="0.3">
      <c r="A28" s="1"/>
      <c r="B28" s="13" t="s">
        <v>8</v>
      </c>
      <c r="C28" s="50">
        <f>C24+C25+C26+C27</f>
        <v>151076384</v>
      </c>
      <c r="D28" s="17"/>
      <c r="E28" s="84"/>
      <c r="F28" s="84"/>
      <c r="G28" s="86"/>
      <c r="H28" s="83"/>
      <c r="I28" s="83"/>
      <c r="J28" s="84">
        <v>25000</v>
      </c>
    </row>
    <row r="29" spans="1:16" x14ac:dyDescent="0.3">
      <c r="A29" s="1"/>
      <c r="B29" s="13" t="s">
        <v>9</v>
      </c>
      <c r="C29" s="50">
        <f>MROUND(C28*90%,1)</f>
        <v>135968746</v>
      </c>
      <c r="D29" s="19"/>
      <c r="E29" s="86"/>
      <c r="F29" s="84"/>
      <c r="G29" s="86"/>
      <c r="H29" s="83"/>
      <c r="I29" s="101" t="s">
        <v>58</v>
      </c>
      <c r="J29" s="83">
        <f>SUM(J27:J28)</f>
        <v>51170</v>
      </c>
      <c r="K29" s="106">
        <f>J29/10.764</f>
        <v>4753.8089929394282</v>
      </c>
    </row>
    <row r="30" spans="1:16" x14ac:dyDescent="0.3">
      <c r="A30" s="1"/>
      <c r="B30" s="13" t="s">
        <v>10</v>
      </c>
      <c r="C30" s="50">
        <f>MROUND(C28*80%,1)</f>
        <v>120861107</v>
      </c>
      <c r="D30" s="19"/>
      <c r="F30" s="17"/>
      <c r="H30" s="28"/>
      <c r="I30" s="102"/>
      <c r="J30" s="1">
        <v>2006</v>
      </c>
    </row>
    <row r="31" spans="1:16" x14ac:dyDescent="0.3">
      <c r="A31" s="1"/>
      <c r="B31" s="13" t="s">
        <v>25</v>
      </c>
      <c r="C31" s="50">
        <f>O11</f>
        <v>76933280</v>
      </c>
      <c r="D31" s="26"/>
      <c r="I31" s="103"/>
      <c r="J31" s="1">
        <v>1026</v>
      </c>
      <c r="O31" s="29"/>
    </row>
    <row r="32" spans="1:16" x14ac:dyDescent="0.3">
      <c r="A32" s="1"/>
      <c r="C32" s="100">
        <f>C31*85%</f>
        <v>65393288</v>
      </c>
      <c r="I32" s="104" t="s">
        <v>59</v>
      </c>
      <c r="J32" s="51">
        <f>SUM(J30:J31)</f>
        <v>3032</v>
      </c>
      <c r="O32" s="29"/>
    </row>
    <row r="33" spans="1:17" x14ac:dyDescent="0.3">
      <c r="A33" s="1"/>
      <c r="G33" s="60"/>
      <c r="H33" s="59"/>
      <c r="I33" s="105" t="s">
        <v>57</v>
      </c>
      <c r="J33" s="1">
        <v>980</v>
      </c>
      <c r="L33" s="30"/>
      <c r="O33" s="29"/>
    </row>
    <row r="34" spans="1:17" x14ac:dyDescent="0.3">
      <c r="A34" s="1"/>
      <c r="G34" s="64"/>
      <c r="H34" s="59"/>
      <c r="I34" s="59"/>
      <c r="J34" s="1">
        <f>SUM(J32:J33)</f>
        <v>4012</v>
      </c>
      <c r="K34" s="106">
        <f>J34/10.764</f>
        <v>372.72389446302492</v>
      </c>
      <c r="L34" s="30"/>
      <c r="O34" s="29"/>
    </row>
    <row r="35" spans="1:17" x14ac:dyDescent="0.3">
      <c r="A35" s="1"/>
      <c r="F35" s="21"/>
      <c r="G35" s="75"/>
      <c r="H35" s="63"/>
      <c r="I35" s="63"/>
      <c r="L35" s="30"/>
      <c r="O35" s="29"/>
    </row>
    <row r="36" spans="1:17" x14ac:dyDescent="0.3">
      <c r="A36" s="1"/>
      <c r="F36" s="21"/>
      <c r="G36" s="75"/>
      <c r="H36" s="63"/>
      <c r="I36" s="63"/>
      <c r="L36" s="30"/>
      <c r="M36" s="7">
        <v>0.41099999999999998</v>
      </c>
      <c r="N36" s="7" t="s">
        <v>60</v>
      </c>
      <c r="O36" s="29"/>
    </row>
    <row r="37" spans="1:17" x14ac:dyDescent="0.3">
      <c r="A37" s="1"/>
      <c r="F37" s="21"/>
      <c r="G37" s="75"/>
      <c r="H37" s="63"/>
      <c r="I37" s="63"/>
      <c r="L37" s="30"/>
      <c r="M37" s="7">
        <f>M36*10000</f>
        <v>4110</v>
      </c>
      <c r="N37" s="7" t="s">
        <v>48</v>
      </c>
      <c r="O37" s="29"/>
    </row>
    <row r="38" spans="1:17" x14ac:dyDescent="0.3">
      <c r="A38" s="1"/>
      <c r="F38" s="21"/>
      <c r="G38" s="76"/>
      <c r="H38" s="63"/>
      <c r="I38" s="63"/>
      <c r="L38" s="30"/>
      <c r="O38" s="29"/>
    </row>
    <row r="39" spans="1:17" x14ac:dyDescent="0.3">
      <c r="A39" s="1"/>
      <c r="C39" s="1" t="s">
        <v>72</v>
      </c>
      <c r="D39" s="1" t="s">
        <v>74</v>
      </c>
      <c r="E39" s="122">
        <v>980</v>
      </c>
      <c r="F39" s="21" t="s">
        <v>76</v>
      </c>
      <c r="G39" s="77"/>
      <c r="H39" s="63"/>
      <c r="I39" s="63"/>
      <c r="J39" s="21" t="s">
        <v>61</v>
      </c>
      <c r="K39" s="21" t="s">
        <v>46</v>
      </c>
      <c r="L39" s="107" t="s">
        <v>64</v>
      </c>
      <c r="M39" s="21" t="s">
        <v>65</v>
      </c>
      <c r="N39" s="21" t="s">
        <v>66</v>
      </c>
      <c r="O39" s="65"/>
      <c r="P39" s="21"/>
    </row>
    <row r="40" spans="1:17" x14ac:dyDescent="0.3">
      <c r="A40" s="1"/>
      <c r="C40" s="1" t="s">
        <v>73</v>
      </c>
      <c r="D40" s="1" t="s">
        <v>74</v>
      </c>
      <c r="E40" s="122">
        <v>1026</v>
      </c>
      <c r="F40" s="21" t="s">
        <v>76</v>
      </c>
      <c r="G40" s="78"/>
      <c r="H40" s="63"/>
      <c r="I40" s="63"/>
      <c r="J40" s="21" t="s">
        <v>62</v>
      </c>
      <c r="K40" s="107" t="s">
        <v>63</v>
      </c>
      <c r="L40" s="21" t="s">
        <v>53</v>
      </c>
      <c r="M40" s="21">
        <v>0.36099999999999999</v>
      </c>
      <c r="N40" s="109">
        <f>M40*10000</f>
        <v>3610</v>
      </c>
      <c r="O40" s="65"/>
      <c r="P40" s="21"/>
    </row>
    <row r="41" spans="1:17" x14ac:dyDescent="0.3">
      <c r="A41" s="1"/>
      <c r="D41" s="1" t="s">
        <v>75</v>
      </c>
      <c r="E41" s="122">
        <v>1026</v>
      </c>
      <c r="F41" s="21" t="s">
        <v>76</v>
      </c>
      <c r="G41" s="75"/>
      <c r="H41" s="63"/>
      <c r="I41" s="63"/>
      <c r="J41" s="21"/>
      <c r="K41" s="21"/>
      <c r="L41" s="21"/>
      <c r="M41" s="21"/>
      <c r="N41" s="21"/>
      <c r="O41" s="21"/>
      <c r="P41" s="21"/>
    </row>
    <row r="42" spans="1:17" x14ac:dyDescent="0.3">
      <c r="A42" s="1"/>
      <c r="C42" s="1" t="s">
        <v>77</v>
      </c>
      <c r="D42" s="1" t="s">
        <v>74</v>
      </c>
      <c r="E42" s="122">
        <v>26170</v>
      </c>
      <c r="F42" s="21" t="s">
        <v>78</v>
      </c>
      <c r="G42" s="62"/>
      <c r="H42" s="79"/>
      <c r="I42" s="79"/>
      <c r="J42" s="21"/>
      <c r="K42" s="21"/>
      <c r="L42" s="21"/>
      <c r="M42" s="21"/>
      <c r="N42" s="21"/>
      <c r="O42" s="21"/>
      <c r="P42" s="21"/>
    </row>
    <row r="43" spans="1:17" x14ac:dyDescent="0.3">
      <c r="A43" s="1"/>
      <c r="B43" s="1"/>
      <c r="C43" s="1" t="s">
        <v>79</v>
      </c>
      <c r="D43" s="1" t="s">
        <v>74</v>
      </c>
      <c r="E43" s="122">
        <v>25000</v>
      </c>
      <c r="F43" s="21" t="s">
        <v>80</v>
      </c>
      <c r="G43" s="56"/>
      <c r="H43" s="79"/>
      <c r="I43" s="79"/>
      <c r="J43" s="21"/>
      <c r="K43" s="21"/>
      <c r="L43" s="21"/>
      <c r="M43" s="21"/>
      <c r="N43" s="21"/>
      <c r="O43" s="21"/>
      <c r="P43" s="21"/>
    </row>
    <row r="44" spans="1:17" ht="17.25" thickBot="1" x14ac:dyDescent="0.35">
      <c r="A44" s="1"/>
      <c r="B44" s="1"/>
      <c r="E44" s="122">
        <f>SUM(E39:E43)</f>
        <v>54202</v>
      </c>
      <c r="F44" s="21"/>
      <c r="G44" s="61"/>
      <c r="H44" s="59"/>
      <c r="I44" s="67"/>
      <c r="J44" s="77"/>
      <c r="K44" s="21"/>
      <c r="L44" s="21"/>
      <c r="M44" s="21"/>
      <c r="N44" s="21"/>
      <c r="O44" s="21"/>
      <c r="P44" s="21"/>
    </row>
    <row r="45" spans="1:17" ht="17.25" thickBot="1" x14ac:dyDescent="0.35">
      <c r="A45" s="1"/>
      <c r="B45" s="1"/>
      <c r="F45" s="21"/>
      <c r="G45" s="56"/>
      <c r="H45" s="79"/>
      <c r="I45" s="79"/>
      <c r="J45" s="21"/>
      <c r="K45" s="21"/>
      <c r="L45" s="21"/>
      <c r="M45" s="21"/>
      <c r="N45" s="21"/>
      <c r="O45" s="123" t="s">
        <v>81</v>
      </c>
      <c r="P45" s="124" t="s">
        <v>85</v>
      </c>
    </row>
    <row r="46" spans="1:17" ht="33.75" thickBot="1" x14ac:dyDescent="0.35">
      <c r="A46" s="1"/>
      <c r="B46" s="1"/>
      <c r="I46" s="108"/>
      <c r="J46" s="21"/>
      <c r="K46" s="21"/>
      <c r="L46" s="21"/>
      <c r="M46" s="21"/>
      <c r="N46" s="21"/>
      <c r="O46" s="125" t="s">
        <v>86</v>
      </c>
      <c r="P46" s="119">
        <v>2394.92</v>
      </c>
      <c r="Q46" s="122">
        <f>MROUND(P46*10.764,1)</f>
        <v>25779</v>
      </c>
    </row>
    <row r="47" spans="1:17" ht="33.75" thickBot="1" x14ac:dyDescent="0.35">
      <c r="A47" s="1"/>
      <c r="B47" s="1"/>
      <c r="F47" s="21"/>
      <c r="G47" s="72"/>
      <c r="H47" s="63"/>
      <c r="I47" s="63"/>
      <c r="J47" s="21">
        <v>980</v>
      </c>
      <c r="K47" s="57"/>
      <c r="L47" s="57"/>
      <c r="M47" s="21"/>
      <c r="N47" s="21"/>
      <c r="O47" s="125" t="s">
        <v>87</v>
      </c>
      <c r="P47" s="119">
        <v>2413.41</v>
      </c>
      <c r="Q47" s="122">
        <f t="shared" ref="Q47:Q48" si="10">MROUND(P47*10.764,1)</f>
        <v>25978</v>
      </c>
    </row>
    <row r="48" spans="1:17" ht="33.75" thickBot="1" x14ac:dyDescent="0.35">
      <c r="A48" s="1"/>
      <c r="B48" s="1"/>
      <c r="C48" s="120" t="s">
        <v>81</v>
      </c>
      <c r="D48" s="114" t="s">
        <v>82</v>
      </c>
      <c r="E48" s="114" t="s">
        <v>82</v>
      </c>
      <c r="F48" s="21"/>
      <c r="G48" s="72"/>
      <c r="H48" s="63"/>
      <c r="I48" s="63"/>
      <c r="J48" s="21"/>
      <c r="K48" s="57"/>
      <c r="L48" s="57"/>
      <c r="M48" s="21"/>
      <c r="N48" s="21"/>
      <c r="O48" s="126" t="s">
        <v>88</v>
      </c>
      <c r="P48" s="127">
        <f>SUM(P46:P47)</f>
        <v>4808.33</v>
      </c>
      <c r="Q48" s="122">
        <f t="shared" si="10"/>
        <v>51757</v>
      </c>
    </row>
    <row r="49" spans="1:16" ht="17.25" thickBot="1" x14ac:dyDescent="0.35">
      <c r="A49" s="1"/>
      <c r="B49" s="1"/>
      <c r="C49" s="121"/>
      <c r="D49" s="115" t="s">
        <v>48</v>
      </c>
      <c r="E49" s="115" t="s">
        <v>41</v>
      </c>
      <c r="F49" s="21"/>
      <c r="G49" s="72"/>
      <c r="H49" s="63"/>
      <c r="I49" s="63"/>
      <c r="J49" s="21">
        <v>1026</v>
      </c>
      <c r="K49" s="57"/>
      <c r="L49" s="57"/>
      <c r="M49" s="21"/>
      <c r="N49" s="21"/>
      <c r="O49" s="21"/>
      <c r="P49" s="21"/>
    </row>
    <row r="50" spans="1:16" ht="33.75" thickBot="1" x14ac:dyDescent="0.35">
      <c r="A50" s="1"/>
      <c r="B50" s="1"/>
      <c r="C50" s="116" t="s">
        <v>83</v>
      </c>
      <c r="D50" s="117">
        <v>4754</v>
      </c>
      <c r="E50" s="117">
        <v>51170</v>
      </c>
      <c r="F50" s="21"/>
      <c r="G50" s="21"/>
      <c r="H50" s="63"/>
      <c r="I50" s="66"/>
      <c r="J50" s="21">
        <v>1026</v>
      </c>
      <c r="K50" s="57"/>
      <c r="L50" s="57"/>
      <c r="M50" s="21"/>
      <c r="N50" s="21"/>
      <c r="O50" s="21"/>
      <c r="P50" s="21"/>
    </row>
    <row r="51" spans="1:16" ht="33.75" thickBot="1" x14ac:dyDescent="0.35">
      <c r="A51" s="1"/>
      <c r="B51" s="1"/>
      <c r="C51" s="116" t="s">
        <v>84</v>
      </c>
      <c r="D51" s="118">
        <v>373</v>
      </c>
      <c r="E51" s="119">
        <v>4012</v>
      </c>
      <c r="F51" s="21"/>
      <c r="G51" s="21"/>
      <c r="H51" s="63"/>
      <c r="I51" s="67"/>
      <c r="K51" s="57"/>
      <c r="L51" s="26"/>
    </row>
    <row r="52" spans="1:16" x14ac:dyDescent="0.3">
      <c r="A52" s="1"/>
      <c r="B52" s="1"/>
      <c r="E52" s="17">
        <f>SUM(E50:E51)</f>
        <v>55182</v>
      </c>
      <c r="F52" s="65"/>
      <c r="G52" s="65"/>
      <c r="H52" s="63"/>
      <c r="I52" s="67"/>
      <c r="J52" s="2"/>
      <c r="K52" s="57"/>
      <c r="L52" s="26"/>
    </row>
    <row r="53" spans="1:16" x14ac:dyDescent="0.3">
      <c r="A53" s="1"/>
      <c r="B53" s="1"/>
      <c r="F53" s="29"/>
      <c r="G53" s="1"/>
      <c r="H53" s="63"/>
      <c r="I53" s="29"/>
      <c r="K53" s="57"/>
      <c r="L53" s="26"/>
    </row>
    <row r="54" spans="1:16" x14ac:dyDescent="0.3">
      <c r="A54" s="1"/>
      <c r="B54" s="1"/>
      <c r="F54" s="29"/>
      <c r="G54" s="29"/>
      <c r="H54" s="80"/>
      <c r="I54" s="79"/>
      <c r="K54" s="21"/>
      <c r="M54" s="20"/>
    </row>
    <row r="55" spans="1:16" x14ac:dyDescent="0.3">
      <c r="A55" s="1"/>
      <c r="B55" s="1"/>
      <c r="F55" s="29"/>
      <c r="G55" s="73"/>
      <c r="H55" s="79"/>
      <c r="I55" s="79"/>
      <c r="K55" s="57"/>
      <c r="L55" s="26"/>
      <c r="M55" s="20"/>
      <c r="N55" s="20"/>
    </row>
    <row r="56" spans="1:16" x14ac:dyDescent="0.3">
      <c r="A56" s="1"/>
      <c r="B56" s="1"/>
      <c r="E56" s="1">
        <v>100</v>
      </c>
      <c r="F56" s="29">
        <v>75</v>
      </c>
      <c r="G56" s="31">
        <f>E56*F56</f>
        <v>7500</v>
      </c>
      <c r="H56" s="29"/>
      <c r="I56" s="29"/>
      <c r="K56" s="21"/>
    </row>
    <row r="57" spans="1:16" ht="17.25" customHeight="1" x14ac:dyDescent="0.3">
      <c r="A57" s="1"/>
      <c r="B57" s="1"/>
      <c r="E57" s="1">
        <v>113</v>
      </c>
      <c r="F57" s="29">
        <v>49</v>
      </c>
      <c r="G57" s="31">
        <f t="shared" ref="G57:G59" si="11">E57*F57</f>
        <v>5537</v>
      </c>
      <c r="H57" s="29"/>
      <c r="I57" s="29"/>
      <c r="J57" s="82"/>
      <c r="K57" s="21"/>
    </row>
    <row r="58" spans="1:16" x14ac:dyDescent="0.3">
      <c r="A58" s="1"/>
      <c r="B58" s="1"/>
      <c r="E58" s="1">
        <v>123</v>
      </c>
      <c r="F58" s="29">
        <v>49</v>
      </c>
      <c r="G58" s="31">
        <f t="shared" si="11"/>
        <v>6027</v>
      </c>
      <c r="H58" s="29"/>
      <c r="I58" s="29"/>
      <c r="K58" s="21"/>
    </row>
    <row r="59" spans="1:16" x14ac:dyDescent="0.3">
      <c r="A59" s="1"/>
      <c r="B59" s="1"/>
      <c r="E59" s="1">
        <v>132</v>
      </c>
      <c r="F59" s="29">
        <v>53</v>
      </c>
      <c r="G59" s="31">
        <f t="shared" si="11"/>
        <v>6996</v>
      </c>
      <c r="H59" s="63"/>
      <c r="I59" s="29"/>
      <c r="K59" s="21"/>
    </row>
    <row r="60" spans="1:16" x14ac:dyDescent="0.3">
      <c r="A60" s="1"/>
      <c r="B60" s="1"/>
      <c r="E60" s="74"/>
      <c r="F60" s="21"/>
      <c r="G60" s="29">
        <f>SUM(G56:G59)</f>
        <v>26060</v>
      </c>
      <c r="H60" s="63"/>
      <c r="I60" s="29"/>
      <c r="K60" s="21"/>
    </row>
    <row r="61" spans="1:16" x14ac:dyDescent="0.3">
      <c r="A61" s="1"/>
      <c r="B61" s="1"/>
      <c r="F61" s="29"/>
      <c r="G61" s="29"/>
      <c r="H61" s="81"/>
      <c r="I61" s="79"/>
      <c r="J61" s="1">
        <v>1</v>
      </c>
      <c r="K61" s="21">
        <v>2508</v>
      </c>
      <c r="L61" s="1">
        <f>K61*10.764</f>
        <v>26996.111999999997</v>
      </c>
      <c r="M61" s="20"/>
    </row>
    <row r="62" spans="1:16" x14ac:dyDescent="0.3">
      <c r="A62" s="1"/>
      <c r="B62" s="1"/>
      <c r="F62" s="29"/>
      <c r="G62" s="29"/>
      <c r="H62" s="29"/>
      <c r="I62" s="29"/>
      <c r="K62" s="21"/>
      <c r="M62" s="20"/>
      <c r="N62" s="20"/>
    </row>
    <row r="63" spans="1:16" x14ac:dyDescent="0.3">
      <c r="A63" s="1"/>
      <c r="B63" s="1"/>
    </row>
    <row r="64" spans="1:16" x14ac:dyDescent="0.3">
      <c r="A64" s="1"/>
      <c r="B64" s="1"/>
      <c r="C64" s="1">
        <v>53</v>
      </c>
      <c r="I64" s="21" t="s">
        <v>70</v>
      </c>
      <c r="J64" s="1">
        <v>17000000</v>
      </c>
      <c r="K64" s="21" t="s">
        <v>68</v>
      </c>
      <c r="L64" s="1">
        <v>2508</v>
      </c>
      <c r="M64" s="7">
        <f>J64/L64</f>
        <v>6778.3094098883575</v>
      </c>
    </row>
    <row r="65" spans="1:13" x14ac:dyDescent="0.3">
      <c r="A65" s="1"/>
      <c r="B65" s="1"/>
      <c r="C65" s="1">
        <v>49</v>
      </c>
      <c r="G65" s="7" t="s">
        <v>71</v>
      </c>
      <c r="H65" s="7">
        <v>9.68</v>
      </c>
      <c r="I65" s="21" t="s">
        <v>69</v>
      </c>
      <c r="J65" s="1">
        <v>25000000</v>
      </c>
      <c r="K65" s="21" t="s">
        <v>68</v>
      </c>
      <c r="L65" s="1">
        <v>2508</v>
      </c>
      <c r="M65" s="7">
        <f>J65/L65</f>
        <v>9968.1020733652313</v>
      </c>
    </row>
    <row r="66" spans="1:13" x14ac:dyDescent="0.3">
      <c r="A66" s="1"/>
      <c r="B66" s="1"/>
      <c r="C66" s="1">
        <v>49</v>
      </c>
    </row>
    <row r="67" spans="1:13" x14ac:dyDescent="0.3">
      <c r="A67" s="1"/>
      <c r="B67" s="1"/>
      <c r="C67" s="1">
        <v>75</v>
      </c>
    </row>
    <row r="68" spans="1:13" x14ac:dyDescent="0.3">
      <c r="A68" s="1"/>
      <c r="B68" s="1"/>
      <c r="C68" s="1">
        <f>SUM(C64:C67)</f>
        <v>226</v>
      </c>
      <c r="D68" s="1">
        <v>100</v>
      </c>
      <c r="F68" s="32"/>
    </row>
    <row r="69" spans="1:13" x14ac:dyDescent="0.3">
      <c r="A69" s="1"/>
      <c r="B69" s="1"/>
      <c r="C69" s="1">
        <v>228.47</v>
      </c>
      <c r="D69" s="1">
        <v>128</v>
      </c>
      <c r="F69" s="32"/>
    </row>
    <row r="70" spans="1:13" x14ac:dyDescent="0.3">
      <c r="A70" s="1"/>
      <c r="B70" s="1"/>
      <c r="C70" s="1">
        <f>C68+C69</f>
        <v>454.47</v>
      </c>
      <c r="D70" s="1">
        <f>D68+D69</f>
        <v>228</v>
      </c>
      <c r="F70" s="32"/>
    </row>
    <row r="71" spans="1:13" x14ac:dyDescent="0.3">
      <c r="A71" s="1"/>
      <c r="B71" s="1"/>
      <c r="C71" s="1">
        <f>C70/2</f>
        <v>227.23500000000001</v>
      </c>
      <c r="D71" s="1">
        <f>D70/2</f>
        <v>114</v>
      </c>
      <c r="E71" s="1">
        <f>C71*D71</f>
        <v>25904.79</v>
      </c>
      <c r="F71" s="32"/>
    </row>
    <row r="72" spans="1:13" x14ac:dyDescent="0.3">
      <c r="A72" s="1"/>
      <c r="B72" s="1"/>
      <c r="F72" s="32"/>
    </row>
    <row r="73" spans="1:13" x14ac:dyDescent="0.3">
      <c r="A73" s="1"/>
      <c r="B73" s="1"/>
      <c r="F73" s="32"/>
    </row>
    <row r="74" spans="1:13" x14ac:dyDescent="0.3">
      <c r="A74" s="1"/>
      <c r="B74" s="1"/>
      <c r="F74" s="32"/>
    </row>
    <row r="75" spans="1:13" x14ac:dyDescent="0.3">
      <c r="A75" s="1"/>
      <c r="B75" s="1"/>
      <c r="F75" s="32"/>
    </row>
    <row r="76" spans="1:13" x14ac:dyDescent="0.3">
      <c r="A76" s="1"/>
      <c r="B76" s="1"/>
      <c r="F76" s="32"/>
    </row>
    <row r="77" spans="1:13" x14ac:dyDescent="0.3">
      <c r="A77" s="1"/>
      <c r="B77" s="1"/>
      <c r="F77" s="32"/>
    </row>
    <row r="78" spans="1:13" x14ac:dyDescent="0.3">
      <c r="A78" s="1"/>
      <c r="B78" s="1"/>
    </row>
    <row r="79" spans="1:13" x14ac:dyDescent="0.3">
      <c r="A79" s="1"/>
      <c r="B79" s="1"/>
    </row>
    <row r="80" spans="1:13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4">
    <mergeCell ref="B13:C13"/>
    <mergeCell ref="B18:C18"/>
    <mergeCell ref="G17:K17"/>
    <mergeCell ref="C48:C4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2024-01-31T08:23:15Z</dcterms:modified>
</cp:coreProperties>
</file>