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Pankaj Sinh\"/>
    </mc:Choice>
  </mc:AlternateContent>
  <xr:revisionPtr revIDLastSave="0" documentId="13_ncr:1_{0EC1D5E6-F85F-4F33-95BA-509F92B4C4DB}" xr6:coauthVersionLast="36" xr6:coauthVersionMax="47" xr10:uidLastSave="{00000000-0000-0000-0000-000000000000}"/>
  <bookViews>
    <workbookView xWindow="0" yWindow="0" windowWidth="28800" windowHeight="12105" tabRatio="907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</workbook>
</file>

<file path=xl/calcChain.xml><?xml version="1.0" encoding="utf-8"?>
<calcChain xmlns="http://schemas.openxmlformats.org/spreadsheetml/2006/main">
  <c r="F4" i="1" l="1"/>
  <c r="C14" i="1" l="1"/>
  <c r="O8" i="1"/>
  <c r="O9" i="1"/>
  <c r="O7" i="1"/>
  <c r="I8" i="1"/>
  <c r="I9" i="1"/>
  <c r="X23" i="2"/>
  <c r="AC20" i="2"/>
  <c r="AC21" i="2"/>
  <c r="AC19" i="2"/>
  <c r="Y11" i="2"/>
  <c r="Z11" i="2" s="1"/>
  <c r="AA11" i="2" s="1"/>
  <c r="E11" i="1" l="1"/>
  <c r="W14" i="2" l="1"/>
  <c r="AD9" i="2"/>
  <c r="AD8" i="2"/>
  <c r="AD7" i="2"/>
  <c r="W12" i="2"/>
  <c r="W10" i="2"/>
  <c r="W9" i="2"/>
  <c r="W8" i="2"/>
  <c r="W7" i="2"/>
  <c r="K25" i="2"/>
  <c r="K23" i="2"/>
  <c r="D4" i="1"/>
  <c r="D2" i="1"/>
  <c r="C11" i="1"/>
  <c r="D11" i="1" s="1"/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AC15" i="2" s="1"/>
  <c r="AD15" i="2" s="1"/>
  <c r="P15" i="2"/>
  <c r="Q15" i="2" s="1"/>
  <c r="R15" i="2" s="1"/>
  <c r="S15" i="2" s="1"/>
  <c r="T15" i="2" s="1"/>
  <c r="H15" i="2"/>
  <c r="G15" i="2"/>
  <c r="D15" i="2"/>
  <c r="B15" i="2"/>
  <c r="Y14" i="2"/>
  <c r="P14" i="2"/>
  <c r="Q14" i="2" s="1"/>
  <c r="R14" i="2" s="1"/>
  <c r="S14" i="2" s="1"/>
  <c r="T14" i="2" s="1"/>
  <c r="H14" i="2"/>
  <c r="G14" i="2"/>
  <c r="D14" i="2"/>
  <c r="B14" i="2"/>
  <c r="Y13" i="2"/>
  <c r="Z13" i="2" s="1"/>
  <c r="AC13" i="2" s="1"/>
  <c r="AD13" i="2" s="1"/>
  <c r="P13" i="2"/>
  <c r="Q13" i="2" s="1"/>
  <c r="R13" i="2" s="1"/>
  <c r="S13" i="2" s="1"/>
  <c r="T13" i="2" s="1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P11" i="2"/>
  <c r="Q11" i="2" s="1"/>
  <c r="R11" i="2" s="1"/>
  <c r="S11" i="2" s="1"/>
  <c r="H11" i="2"/>
  <c r="G11" i="2"/>
  <c r="D11" i="2"/>
  <c r="B11" i="2"/>
  <c r="Y10" i="2"/>
  <c r="P10" i="2"/>
  <c r="Q10" i="2" s="1"/>
  <c r="R10" i="2" s="1"/>
  <c r="S10" i="2" s="1"/>
  <c r="T10" i="2" s="1"/>
  <c r="H10" i="2"/>
  <c r="G10" i="2"/>
  <c r="D10" i="2"/>
  <c r="B10" i="2"/>
  <c r="Y9" i="2"/>
  <c r="Z9" i="2" s="1"/>
  <c r="AC9" i="2" s="1"/>
  <c r="P9" i="2"/>
  <c r="Q9" i="2" s="1"/>
  <c r="R9" i="2" s="1"/>
  <c r="S9" i="2" s="1"/>
  <c r="T9" i="2" s="1"/>
  <c r="H9" i="2"/>
  <c r="G9" i="2"/>
  <c r="D9" i="2"/>
  <c r="B9" i="2"/>
  <c r="Y8" i="2"/>
  <c r="P8" i="2"/>
  <c r="Q8" i="2" s="1"/>
  <c r="R8" i="2" s="1"/>
  <c r="S8" i="2" s="1"/>
  <c r="T8" i="2" s="1"/>
  <c r="H8" i="2"/>
  <c r="G8" i="2"/>
  <c r="D8" i="2"/>
  <c r="B8" i="2"/>
  <c r="Y7" i="2"/>
  <c r="Z7" i="2" s="1"/>
  <c r="AC7" i="2" s="1"/>
  <c r="P7" i="2"/>
  <c r="Q7" i="2" s="1"/>
  <c r="R7" i="2" s="1"/>
  <c r="S7" i="2" s="1"/>
  <c r="T7" i="2" s="1"/>
  <c r="H7" i="2"/>
  <c r="G7" i="2"/>
  <c r="D7" i="2"/>
  <c r="B7" i="2"/>
  <c r="Y6" i="2"/>
  <c r="I6" i="2" s="1"/>
  <c r="P6" i="2"/>
  <c r="Q6" i="2" s="1"/>
  <c r="R6" i="2" s="1"/>
  <c r="S6" i="2" s="1"/>
  <c r="H6" i="2"/>
  <c r="G6" i="2"/>
  <c r="D6" i="2"/>
  <c r="B6" i="2"/>
  <c r="Y5" i="2"/>
  <c r="Z5" i="2" s="1"/>
  <c r="P5" i="2"/>
  <c r="Q5" i="2" s="1"/>
  <c r="R5" i="2" s="1"/>
  <c r="T5" i="2" s="1"/>
  <c r="I5" i="2"/>
  <c r="H5" i="2"/>
  <c r="G5" i="2"/>
  <c r="D5" i="2"/>
  <c r="B5" i="2"/>
  <c r="Y4" i="2"/>
  <c r="I4" i="2" s="1"/>
  <c r="P4" i="2"/>
  <c r="Q4" i="2" s="1"/>
  <c r="R4" i="2" s="1"/>
  <c r="T4" i="2" s="1"/>
  <c r="V4" i="2" s="1"/>
  <c r="E4" i="2" s="1"/>
  <c r="F4" i="2" s="1"/>
  <c r="H4" i="2"/>
  <c r="G4" i="2"/>
  <c r="D4" i="2"/>
  <c r="B4" i="2"/>
  <c r="Y3" i="2"/>
  <c r="Z3" i="2" s="1"/>
  <c r="T3" i="2"/>
  <c r="P3" i="2"/>
  <c r="Q3" i="2" s="1"/>
  <c r="R3" i="2" s="1"/>
  <c r="I3" i="2"/>
  <c r="H3" i="2"/>
  <c r="G3" i="2"/>
  <c r="D3" i="2"/>
  <c r="B3" i="2"/>
  <c r="Y2" i="2"/>
  <c r="P2" i="2"/>
  <c r="Q2" i="2" s="1"/>
  <c r="R2" i="2" s="1"/>
  <c r="T2" i="2" s="1"/>
  <c r="H2" i="2"/>
  <c r="G2" i="2"/>
  <c r="D2" i="2"/>
  <c r="B2" i="2"/>
  <c r="H7" i="1"/>
  <c r="I15" i="2" l="1"/>
  <c r="I14" i="2"/>
  <c r="Z14" i="2"/>
  <c r="AC14" i="2" s="1"/>
  <c r="AD14" i="2" s="1"/>
  <c r="I13" i="2"/>
  <c r="I8" i="2"/>
  <c r="Z8" i="2"/>
  <c r="AC8" i="2" s="1"/>
  <c r="I11" i="2"/>
  <c r="I10" i="2"/>
  <c r="Z10" i="2"/>
  <c r="AC10" i="2" s="1"/>
  <c r="AD10" i="2" s="1"/>
  <c r="I9" i="2"/>
  <c r="I7" i="2"/>
  <c r="AA3" i="2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K11" i="2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12" i="2"/>
  <c r="AC12" i="2" s="1"/>
  <c r="AD12" i="2" s="1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J8" i="1" s="1"/>
  <c r="K8" i="1" s="1"/>
  <c r="M8" i="1"/>
  <c r="H9" i="1"/>
  <c r="J9" i="1" s="1"/>
  <c r="K9" i="1" s="1"/>
  <c r="M9" i="1"/>
  <c r="M7" i="1"/>
  <c r="I7" i="1"/>
  <c r="J7" i="1" s="1"/>
  <c r="K7" i="1" s="1"/>
  <c r="L9" i="1" l="1"/>
  <c r="N9" i="1"/>
  <c r="L8" i="1"/>
  <c r="N8" i="1"/>
  <c r="L7" i="1"/>
  <c r="N7" i="1"/>
  <c r="L11" i="1"/>
  <c r="M11" i="1"/>
  <c r="C30" i="1" s="1"/>
  <c r="H2" i="1"/>
  <c r="C19" i="1" l="1"/>
  <c r="J20" i="1"/>
  <c r="J22" i="1" s="1"/>
  <c r="I17" i="1"/>
  <c r="C16" i="1" l="1"/>
  <c r="C4" i="1" l="1"/>
  <c r="C20" i="1"/>
  <c r="C18" i="1" l="1"/>
  <c r="K15" i="1" l="1"/>
  <c r="L15" i="1" s="1"/>
  <c r="C27" i="1"/>
  <c r="C28" i="1" s="1"/>
  <c r="C29" i="1" s="1"/>
  <c r="C21" i="1" l="1"/>
  <c r="C26" i="1" s="1"/>
  <c r="C23" i="1" l="1"/>
  <c r="C24" i="1" s="1"/>
  <c r="C25" i="1" s="1"/>
  <c r="C22" i="1"/>
</calcChain>
</file>

<file path=xl/sharedStrings.xml><?xml version="1.0" encoding="utf-8"?>
<sst xmlns="http://schemas.openxmlformats.org/spreadsheetml/2006/main" count="60" uniqueCount="52">
  <si>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</si>
  <si>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</si>
  <si>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</si>
  <si>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</si>
  <si>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</si>
  <si>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</si>
  <si>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</si>
  <si>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</si>
  <si>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</si>
  <si>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</si>
  <si>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</si>
  <si>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</si>
  <si>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</si>
  <si>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</si>
  <si>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</si>
  <si>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</si>
  <si>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</si>
  <si>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</si>
  <si>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</si>
  <si>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</si>
  <si>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</si>
  <si>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</si>
  <si>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</si>
  <si>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</si>
  <si>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</si>
  <si>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</si>
  <si>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</si>
  <si>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</si>
  <si>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</si>
  <si>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</si>
  <si>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</si>
  <si>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</si>
  <si>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</si>
  <si>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</si>
  <si>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</si>
  <si>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</si>
  <si>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</si>
  <si>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</si>
  <si>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</si>
  <si>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</si>
  <si>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</si>
  <si>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</si>
  <si>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Agreement Date</t>
  </si>
  <si>
    <t>16.01.2024</t>
  </si>
  <si>
    <t>Agreement Value</t>
  </si>
  <si>
    <t>Ground Floor</t>
  </si>
  <si>
    <t>1st Floor</t>
  </si>
  <si>
    <t>2nd Floor</t>
  </si>
  <si>
    <t>Sq. Ft.</t>
  </si>
  <si>
    <t>Interior Value</t>
  </si>
  <si>
    <t xml:space="preserve">As per approved plan, the property is a row house of stilt + 2 upper floors, but as per site visit the owner has converted stilt into shop. Revised permission for the same is not available. </t>
  </si>
  <si>
    <t xml:space="preserve">BUA` - 1st + 2nd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</si>
</sst>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"/>
    <numFmt numFmtId="165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164" fontId="1" fillId="0" borderId="4" xfId="0" applyNumberFormat="1" applyFont="1" applyBorder="1" applyAlignment="1">
      <alignment horizontal="right" vertical="center" wrapText="1"/>
    </xf>
    <xf numFmtId="165" fontId="9" fillId="0" borderId="0" xfId="1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/>
    </xf>
    <xf numFmtId="165" fontId="9" fillId="0" borderId="1" xfId="0" applyNumberFormat="1" applyFont="1" applyBorder="1"/>
    <xf numFmtId="43" fontId="0" fillId="2" borderId="0" xfId="1" applyFont="1" applyFill="1"/>
    <xf numFmtId="43" fontId="0" fillId="0" borderId="0" xfId="1" applyFont="1" applyFill="1"/>
    <xf numFmtId="0" fontId="4" fillId="2" borderId="2" xfId="0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wrapText="1" shrinkToFit="1"/>
    </xf>
    <xf numFmtId="0" fontId="5" fillId="2" borderId="1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vertical="top" wrapText="1" shrinkToFit="1"/>
    </xf>
    <xf numFmtId="0" fontId="8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F6CEE-0F2C-4A0D-85CD-70B5BF014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8783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135581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D72F0-8025-48DC-868D-48E6F675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85181" cy="8688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8B33F-5540-4F53-AAAE-5181DF3F0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811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334953</xdr:colOff>
      <xdr:row>46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9B9D4-D85F-4CEB-B60A-1F1874D8E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07753" cy="8792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30621</xdr:colOff>
      <xdr:row>46</xdr:row>
      <xdr:rowOff>1223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28E9D1-2504-4D78-9B40-38E8FE77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1021" cy="876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E5E5F-8774-45CE-80FB-4DCADB61C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1D40AD-2D1A-4ADB-BB44-0815173A8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8C4592-C2DD-48CC-A65E-592B871A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71483-F443-4EE1-92CA-E5A5C4A1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73A15-7718-43F2-92B6-1B653DB3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5DE82-B124-47A4-BEAE-A149B71C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661841-B8A0-44D1-889F-A382E97B7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05F42-786C-4386-9E28-EA829C29C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358B7-B55C-4EF2-845F-544FE033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5" sqref="B15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14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6384" width="9.140625" style="1"/>
  </cols>
  <sheetData>
    <row r="1" spans="1:15" x14ac:dyDescent="0.3">
      <c r="B1" s="12" t="s">
        <v>17</v>
      </c>
    </row>
    <row r="2" spans="1:15" x14ac:dyDescent="0.3">
      <c r="B2" s="22" t="s">
        <v>15</v>
      </c>
      <c r="C2" s="1">
        <v>60.03</v>
      </c>
      <c r="D2" s="1">
        <f>C2*10.764</f>
        <v>646.16291999999999</v>
      </c>
      <c r="E2" s="4" t="s">
        <v>48</v>
      </c>
      <c r="F2" s="1">
        <v>60.03</v>
      </c>
      <c r="G2" s="24"/>
      <c r="H2" s="1">
        <f>18100/10.764</f>
        <v>1681.5310293571165</v>
      </c>
    </row>
    <row r="3" spans="1:15" x14ac:dyDescent="0.3">
      <c r="B3" s="23" t="s">
        <v>10</v>
      </c>
      <c r="C3" s="26">
        <v>155000</v>
      </c>
      <c r="D3" s="14">
        <v>15000</v>
      </c>
      <c r="E3" s="25"/>
      <c r="F3" s="26">
        <v>155000</v>
      </c>
      <c r="G3" s="14"/>
      <c r="H3" s="1"/>
    </row>
    <row r="4" spans="1:15" x14ac:dyDescent="0.3">
      <c r="B4" s="42" t="s">
        <v>22</v>
      </c>
      <c r="C4" s="18">
        <f>ROUND((C2*C3),0)</f>
        <v>9304650</v>
      </c>
      <c r="D4" s="18">
        <f>ROUND((D2*D3),0)</f>
        <v>9692444</v>
      </c>
      <c r="F4" s="18">
        <f>ROUND((F2*F3),0)</f>
        <v>9304650</v>
      </c>
      <c r="G4" s="21"/>
    </row>
    <row r="5" spans="1:15" x14ac:dyDescent="0.3">
      <c r="B5" s="12" t="s">
        <v>18</v>
      </c>
    </row>
    <row r="6" spans="1:15" s="3" customFormat="1" ht="60.75" thickBot="1" x14ac:dyDescent="0.25">
      <c r="B6" s="65" t="s">
        <v>0</v>
      </c>
      <c r="C6" s="66" t="s">
        <v>3</v>
      </c>
      <c r="D6" s="66" t="s">
        <v>1</v>
      </c>
      <c r="E6" s="4" t="s">
        <v>4</v>
      </c>
      <c r="F6" s="4" t="s">
        <v>5</v>
      </c>
      <c r="G6" s="67" t="s">
        <v>9</v>
      </c>
      <c r="H6" s="68" t="s">
        <v>2</v>
      </c>
      <c r="I6" s="7" t="s">
        <v>6</v>
      </c>
      <c r="J6" s="7" t="s">
        <v>7</v>
      </c>
      <c r="K6" s="68" t="s">
        <v>20</v>
      </c>
      <c r="L6" s="68" t="s">
        <v>21</v>
      </c>
      <c r="M6" s="68" t="s">
        <v>8</v>
      </c>
    </row>
    <row r="7" spans="1:15" s="3" customFormat="1" ht="17.25" thickBot="1" x14ac:dyDescent="0.25">
      <c r="A7" s="3">
        <v>1</v>
      </c>
      <c r="B7" s="46" t="s">
        <v>45</v>
      </c>
      <c r="C7" s="59">
        <v>33.131999999999998</v>
      </c>
      <c r="D7" s="48">
        <v>2005</v>
      </c>
      <c r="E7" s="28">
        <v>2024</v>
      </c>
      <c r="F7" s="28">
        <v>60</v>
      </c>
      <c r="G7" s="49">
        <v>22000</v>
      </c>
      <c r="H7" s="5">
        <f t="shared" ref="H7:H9" si="0">E7-D7</f>
        <v>19</v>
      </c>
      <c r="I7" s="51">
        <f t="shared" ref="I7:I9" si="1">90*H7/F7</f>
        <v>28.5</v>
      </c>
      <c r="J7" s="14">
        <f t="shared" ref="J7" si="2">G7/100*I7</f>
        <v>6270</v>
      </c>
      <c r="K7" s="14">
        <f t="shared" ref="K7" si="3">ROUND((G7-J7),0)</f>
        <v>15730</v>
      </c>
      <c r="L7" s="14">
        <f t="shared" ref="L7" si="4">ROUND((K7*C7),0)</f>
        <v>521166</v>
      </c>
      <c r="M7" s="14">
        <f t="shared" ref="M7" si="5">ROUND((C7*G7),0)</f>
        <v>728904</v>
      </c>
      <c r="N7" s="3">
        <f>K7/10.764</f>
        <v>1461.3526570048309</v>
      </c>
      <c r="O7" s="61">
        <f>G7/10.764</f>
        <v>2043.8498699368265</v>
      </c>
    </row>
    <row r="8" spans="1:15" s="3" customFormat="1" ht="17.25" thickBot="1" x14ac:dyDescent="0.25">
      <c r="B8" s="46" t="s">
        <v>46</v>
      </c>
      <c r="C8" s="59">
        <v>41.347999999999999</v>
      </c>
      <c r="D8" s="48">
        <v>2005</v>
      </c>
      <c r="E8" s="28">
        <v>2024</v>
      </c>
      <c r="F8" s="28">
        <v>60</v>
      </c>
      <c r="G8" s="49">
        <v>22000</v>
      </c>
      <c r="H8" s="5">
        <f t="shared" si="0"/>
        <v>19</v>
      </c>
      <c r="I8" s="51">
        <f>90*H8/F8</f>
        <v>28.5</v>
      </c>
      <c r="J8" s="14">
        <f t="shared" ref="J8:J9" si="6">G8/100*I8</f>
        <v>6270</v>
      </c>
      <c r="K8" s="14">
        <f t="shared" ref="K8:K9" si="7">ROUND((G8-J8),0)</f>
        <v>15730</v>
      </c>
      <c r="L8" s="14">
        <f t="shared" ref="L8:L9" si="8">ROUND((K8*C8),0)</f>
        <v>650404</v>
      </c>
      <c r="M8" s="14">
        <f t="shared" ref="M8:M9" si="9">ROUND((C8*G8),0)</f>
        <v>909656</v>
      </c>
      <c r="N8" s="3">
        <f t="shared" ref="N8:N9" si="10">K8/10.764</f>
        <v>1461.3526570048309</v>
      </c>
      <c r="O8" s="61">
        <f t="shared" ref="O8:O9" si="11">G8/10.764</f>
        <v>2043.8498699368265</v>
      </c>
    </row>
    <row r="9" spans="1:15" s="3" customFormat="1" ht="17.25" thickBot="1" x14ac:dyDescent="0.25">
      <c r="A9" s="3">
        <v>2</v>
      </c>
      <c r="B9" s="46" t="s">
        <v>47</v>
      </c>
      <c r="C9" s="59">
        <v>31.617999999999999</v>
      </c>
      <c r="D9" s="48">
        <v>2005</v>
      </c>
      <c r="E9" s="28">
        <v>2024</v>
      </c>
      <c r="F9" s="28">
        <v>60</v>
      </c>
      <c r="G9" s="49">
        <v>22000</v>
      </c>
      <c r="H9" s="5">
        <f t="shared" si="0"/>
        <v>19</v>
      </c>
      <c r="I9" s="51">
        <f t="shared" si="1"/>
        <v>28.5</v>
      </c>
      <c r="J9" s="14">
        <f t="shared" si="6"/>
        <v>6270</v>
      </c>
      <c r="K9" s="14">
        <f t="shared" si="7"/>
        <v>15730</v>
      </c>
      <c r="L9" s="14">
        <f t="shared" si="8"/>
        <v>497351</v>
      </c>
      <c r="M9" s="14">
        <f t="shared" si="9"/>
        <v>695596</v>
      </c>
      <c r="N9" s="3">
        <f t="shared" si="10"/>
        <v>1461.3526570048309</v>
      </c>
      <c r="O9" s="61">
        <f t="shared" si="11"/>
        <v>2043.8498699368265</v>
      </c>
    </row>
    <row r="10" spans="1:15" s="3" customFormat="1" x14ac:dyDescent="0.2">
      <c r="B10" s="46"/>
      <c r="C10" s="47"/>
      <c r="D10" s="48"/>
      <c r="E10" s="28"/>
      <c r="F10" s="28"/>
      <c r="G10" s="50"/>
      <c r="H10" s="5"/>
      <c r="I10" s="5"/>
      <c r="J10" s="14"/>
      <c r="K10" s="14"/>
      <c r="L10" s="14"/>
      <c r="M10" s="14"/>
    </row>
    <row r="11" spans="1:15" x14ac:dyDescent="0.3">
      <c r="B11" s="43" t="s">
        <v>23</v>
      </c>
      <c r="C11" s="60">
        <f>SUM(C7:C10)</f>
        <v>106.09799999999998</v>
      </c>
      <c r="D11" s="44">
        <f>C11*10.764</f>
        <v>1142.0388719999999</v>
      </c>
      <c r="E11" s="44">
        <f>1.2/630</f>
        <v>1.9047619047619048E-3</v>
      </c>
      <c r="F11" s="44"/>
      <c r="G11" s="45"/>
      <c r="H11" s="11"/>
      <c r="I11" s="11"/>
      <c r="J11" s="15"/>
      <c r="K11" s="15"/>
      <c r="L11" s="15">
        <f>SUM(L7:L10)</f>
        <v>1668921</v>
      </c>
      <c r="M11" s="15">
        <f>SUM(M7:M10)</f>
        <v>2334156</v>
      </c>
    </row>
    <row r="12" spans="1:15" x14ac:dyDescent="0.3">
      <c r="B12" s="9"/>
      <c r="C12" s="10"/>
      <c r="D12" s="10"/>
      <c r="E12" s="10"/>
      <c r="F12" s="11"/>
      <c r="G12" s="11"/>
      <c r="H12" s="11"/>
      <c r="I12" s="10"/>
      <c r="J12" s="15"/>
      <c r="K12" s="16"/>
      <c r="L12" s="29"/>
      <c r="M12" s="29"/>
      <c r="N12" s="11"/>
    </row>
    <row r="13" spans="1:15" ht="22.5" customHeight="1" x14ac:dyDescent="0.3">
      <c r="B13" s="69" t="s">
        <v>49</v>
      </c>
      <c r="C13" s="69"/>
      <c r="D13" s="10"/>
      <c r="E13" s="10"/>
      <c r="F13" s="11"/>
      <c r="G13" s="11"/>
      <c r="H13" s="11"/>
      <c r="I13" s="10"/>
      <c r="J13" s="11"/>
      <c r="K13" s="10"/>
      <c r="L13" s="11"/>
      <c r="M13" s="11"/>
      <c r="N13" s="11"/>
    </row>
    <row r="14" spans="1:15" x14ac:dyDescent="0.3">
      <c r="B14" s="22" t="s">
        <v>51</v>
      </c>
      <c r="C14" s="62">
        <f>C8+C9</f>
        <v>72.965999999999994</v>
      </c>
      <c r="E14" s="32"/>
      <c r="F14" s="32"/>
      <c r="G14" s="33"/>
      <c r="H14" s="13"/>
      <c r="K14" s="20"/>
    </row>
    <row r="15" spans="1:15" x14ac:dyDescent="0.3">
      <c r="B15" s="23" t="s">
        <v>10</v>
      </c>
      <c r="C15" s="26">
        <v>15000</v>
      </c>
      <c r="D15" s="39"/>
      <c r="E15" s="30"/>
      <c r="F15" s="30"/>
      <c r="G15" s="15"/>
      <c r="H15" s="13"/>
      <c r="K15" s="19" t="e">
        <f>#REF!+C3</f>
        <v>#REF!</v>
      </c>
      <c r="L15" s="6" t="e">
        <f>K15*10.764</f>
        <v>#REF!</v>
      </c>
    </row>
    <row r="16" spans="1:15" x14ac:dyDescent="0.3">
      <c r="B16" s="23" t="s">
        <v>11</v>
      </c>
      <c r="C16" s="40">
        <f>ROUND((C14*C15),0)</f>
        <v>1094490</v>
      </c>
      <c r="D16" s="8"/>
      <c r="E16" s="8"/>
      <c r="F16" s="20"/>
      <c r="H16" s="13"/>
      <c r="K16" s="20"/>
    </row>
    <row r="17" spans="2:11" x14ac:dyDescent="0.3">
      <c r="C17" s="8"/>
      <c r="D17" s="8"/>
      <c r="E17" s="8"/>
      <c r="F17" s="20"/>
      <c r="H17" s="13">
        <v>45350908</v>
      </c>
      <c r="I17" s="1">
        <f>H17*120%</f>
        <v>54421089.600000001</v>
      </c>
      <c r="K17" s="20"/>
    </row>
    <row r="18" spans="2:11" x14ac:dyDescent="0.3">
      <c r="B18" s="2" t="s">
        <v>17</v>
      </c>
      <c r="C18" s="18">
        <f>C4</f>
        <v>9304650</v>
      </c>
      <c r="D18" s="18"/>
      <c r="E18" s="18" t="s">
        <v>42</v>
      </c>
      <c r="F18" s="18" t="s">
        <v>43</v>
      </c>
      <c r="G18" s="18"/>
      <c r="H18" s="19"/>
      <c r="K18" s="17"/>
    </row>
    <row r="19" spans="2:11" x14ac:dyDescent="0.3">
      <c r="B19" s="2" t="s">
        <v>18</v>
      </c>
      <c r="C19" s="18">
        <f>L11</f>
        <v>1668921</v>
      </c>
      <c r="D19" s="18"/>
      <c r="E19" s="18" t="s">
        <v>44</v>
      </c>
      <c r="F19" s="18">
        <v>11000000</v>
      </c>
      <c r="G19" s="18"/>
      <c r="H19" s="19"/>
      <c r="K19" s="19"/>
    </row>
    <row r="20" spans="2:11" ht="33" x14ac:dyDescent="0.3">
      <c r="B20" s="2" t="s">
        <v>16</v>
      </c>
      <c r="C20" s="18">
        <f>C16</f>
        <v>1094490</v>
      </c>
      <c r="D20" s="18"/>
      <c r="E20" s="18"/>
      <c r="F20" s="18"/>
      <c r="G20" s="18"/>
      <c r="H20" s="19"/>
      <c r="J20" s="18">
        <f>L11+C16</f>
        <v>2763411</v>
      </c>
      <c r="K20" s="19"/>
    </row>
    <row r="21" spans="2:11" x14ac:dyDescent="0.3">
      <c r="B21" s="12" t="s">
        <v>12</v>
      </c>
      <c r="C21" s="27">
        <f>C18+C19+C20</f>
        <v>12068061</v>
      </c>
      <c r="D21" s="35"/>
      <c r="E21" s="35"/>
      <c r="F21" s="36"/>
      <c r="J21" s="6">
        <v>58.49</v>
      </c>
    </row>
    <row r="22" spans="2:11" ht="33" x14ac:dyDescent="0.3">
      <c r="B22" s="12" t="s">
        <v>13</v>
      </c>
      <c r="C22" s="27">
        <f>ROUND((C21*0.9),0)</f>
        <v>10861255</v>
      </c>
      <c r="D22" s="41"/>
      <c r="E22" s="35"/>
      <c r="F22" s="36"/>
      <c r="H22" s="34"/>
      <c r="J22" s="6">
        <f>J20/J21</f>
        <v>47245.871089075052</v>
      </c>
    </row>
    <row r="23" spans="2:11" hidden="1" x14ac:dyDescent="0.3">
      <c r="B23" s="31" t="s">
        <v>11</v>
      </c>
      <c r="C23" s="17">
        <f>C21*0.8</f>
        <v>9654448.8000000007</v>
      </c>
      <c r="D23" s="41"/>
      <c r="E23" s="35"/>
      <c r="F23" s="36"/>
    </row>
    <row r="24" spans="2:11" hidden="1" x14ac:dyDescent="0.3">
      <c r="B24" s="37"/>
      <c r="C24" s="18">
        <f>ROUNDUP(C23,0)</f>
        <v>9654449</v>
      </c>
      <c r="D24" s="41"/>
      <c r="E24" s="35"/>
      <c r="F24" s="36"/>
    </row>
    <row r="25" spans="2:11" hidden="1" x14ac:dyDescent="0.3">
      <c r="B25" s="37"/>
      <c r="C25" s="18">
        <f>C24-C23</f>
        <v>0.19999999925494194</v>
      </c>
      <c r="D25" s="41"/>
      <c r="E25" s="35"/>
      <c r="F25" s="36"/>
    </row>
    <row r="26" spans="2:11" x14ac:dyDescent="0.3">
      <c r="B26" s="12" t="s">
        <v>14</v>
      </c>
      <c r="C26" s="38">
        <f>ROUND((C21*0.8),0)</f>
        <v>9654449</v>
      </c>
      <c r="D26" s="41"/>
      <c r="E26" s="35"/>
      <c r="F26" s="36"/>
      <c r="H26" s="34"/>
    </row>
    <row r="27" spans="2:11" hidden="1" x14ac:dyDescent="0.3">
      <c r="B27" s="6" t="s">
        <v>11</v>
      </c>
      <c r="C27" s="19">
        <f>M12</f>
        <v>0</v>
      </c>
      <c r="D27" s="41"/>
      <c r="E27" s="35"/>
      <c r="F27" s="36"/>
    </row>
    <row r="28" spans="2:11" hidden="1" x14ac:dyDescent="0.3">
      <c r="B28" s="31"/>
      <c r="C28" s="18">
        <f>ROUNDUP(C27,0)</f>
        <v>0</v>
      </c>
      <c r="D28" s="41"/>
    </row>
    <row r="29" spans="2:11" hidden="1" x14ac:dyDescent="0.3">
      <c r="B29" s="31"/>
      <c r="C29" s="18">
        <f>C28-C27</f>
        <v>0</v>
      </c>
      <c r="D29" s="41"/>
    </row>
    <row r="30" spans="2:11" x14ac:dyDescent="0.3">
      <c r="B30" s="12" t="s">
        <v>19</v>
      </c>
      <c r="C30" s="27">
        <f>M11</f>
        <v>2334156</v>
      </c>
      <c r="D30" s="41"/>
    </row>
  </sheetData>
  <mergeCells count="1">
    <mergeCell ref="B13:C1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"/>
  <sheetViews>
    <sheetView topLeftCell="H4" workbookViewId="0">
      <selection activeCell="X40" sqref="X40"/>
    </sheetView>
  </sheetViews>
  <sheetFormatPr defaultRowHeight="15" x14ac:dyDescent="0.25"/>
  <cols>
    <col min="1" max="1" width="6.85546875" style="55" bestFit="1" customWidth="1"/>
    <col min="2" max="2" width="5.140625" style="55" bestFit="1" customWidth="1"/>
    <col min="3" max="3" width="10" style="55" bestFit="1" customWidth="1"/>
    <col min="4" max="4" width="15.28515625" style="55" bestFit="1" customWidth="1"/>
    <col min="5" max="5" width="11.5703125" style="55" bestFit="1" customWidth="1"/>
    <col min="6" max="6" width="10.85546875" style="55" bestFit="1" customWidth="1"/>
    <col min="7" max="7" width="9.42578125" style="55" bestFit="1" customWidth="1"/>
    <col min="8" max="8" width="10" style="55" bestFit="1" customWidth="1"/>
    <col min="9" max="9" width="12.28515625" style="55" bestFit="1" customWidth="1"/>
    <col min="10" max="10" width="15.28515625" style="55" bestFit="1" customWidth="1"/>
    <col min="11" max="11" width="11.5703125" style="55" bestFit="1" customWidth="1"/>
    <col min="12" max="12" width="11.28515625" style="55" bestFit="1" customWidth="1"/>
    <col min="13" max="13" width="6.85546875" style="55" hidden="1" customWidth="1"/>
    <col min="14" max="14" width="5.140625" style="55" hidden="1" customWidth="1"/>
    <col min="15" max="15" width="7.28515625" style="55" bestFit="1" customWidth="1"/>
    <col min="16" max="16" width="11.7109375" style="55" customWidth="1"/>
    <col min="17" max="17" width="7.42578125" style="55" bestFit="1" customWidth="1"/>
    <col min="18" max="18" width="8" style="55" bestFit="1" customWidth="1"/>
    <col min="19" max="20" width="10.42578125" style="55" bestFit="1" customWidth="1"/>
    <col min="21" max="21" width="15.28515625" style="55" bestFit="1" customWidth="1"/>
    <col min="22" max="22" width="11.5703125" style="55" bestFit="1" customWidth="1"/>
    <col min="23" max="24" width="12.28515625" style="55" bestFit="1" customWidth="1"/>
    <col min="25" max="25" width="17.85546875" style="55" bestFit="1" customWidth="1"/>
    <col min="26" max="26" width="15.28515625" style="55" bestFit="1" customWidth="1"/>
    <col min="27" max="27" width="11.5703125" style="55" bestFit="1" customWidth="1"/>
    <col min="28" max="28" width="8.85546875" style="55" bestFit="1" customWidth="1"/>
    <col min="29" max="29" width="19.85546875" style="55" bestFit="1" customWidth="1"/>
    <col min="30" max="30" width="12.5703125" style="55" bestFit="1" customWidth="1"/>
    <col min="31" max="16384" width="9.140625" style="55"/>
  </cols>
  <sheetData>
    <row r="1" spans="1:30" s="53" customFormat="1" ht="120" x14ac:dyDescent="0.25">
      <c r="A1" s="52" t="s">
        <v>24</v>
      </c>
      <c r="B1" s="52" t="str">
        <f>N1</f>
        <v>Date</v>
      </c>
      <c r="C1" s="52" t="s">
        <v>25</v>
      </c>
      <c r="D1" s="52" t="s">
        <v>11</v>
      </c>
      <c r="E1" s="52" t="s">
        <v>26</v>
      </c>
      <c r="F1" s="52" t="s">
        <v>27</v>
      </c>
      <c r="G1" s="52" t="str">
        <f t="shared" ref="G1:L16" si="0">W1</f>
        <v>Construction Area</v>
      </c>
      <c r="H1" s="52" t="str">
        <f t="shared" si="0"/>
        <v>Cost of Construction</v>
      </c>
      <c r="I1" s="52" t="str">
        <f t="shared" si="0"/>
        <v>Construction value</v>
      </c>
      <c r="J1" s="52" t="str">
        <f t="shared" si="0"/>
        <v>Land Value (Including Land development)</v>
      </c>
      <c r="K1" s="52" t="str">
        <f t="shared" si="0"/>
        <v>Land Rate (Including Development) per Sq. M.</v>
      </c>
      <c r="L1" s="52" t="str">
        <f t="shared" si="0"/>
        <v>Land Rate (Including Development) per Sq. Yard.</v>
      </c>
      <c r="M1" s="53" t="s">
        <v>28</v>
      </c>
      <c r="N1" s="53" t="s">
        <v>29</v>
      </c>
      <c r="O1" s="53" t="s">
        <v>30</v>
      </c>
      <c r="P1" s="53" t="s">
        <v>31</v>
      </c>
      <c r="Q1" s="53" t="s">
        <v>32</v>
      </c>
      <c r="R1" s="53" t="s">
        <v>33</v>
      </c>
      <c r="S1" s="53" t="s">
        <v>34</v>
      </c>
      <c r="T1" s="53" t="s">
        <v>35</v>
      </c>
      <c r="U1" s="53" t="s">
        <v>11</v>
      </c>
      <c r="V1" s="53" t="s">
        <v>10</v>
      </c>
      <c r="W1" s="54" t="s">
        <v>36</v>
      </c>
      <c r="X1" s="54" t="s">
        <v>37</v>
      </c>
      <c r="Y1" s="53" t="s">
        <v>38</v>
      </c>
      <c r="Z1" s="53" t="s">
        <v>39</v>
      </c>
      <c r="AA1" s="53" t="s">
        <v>40</v>
      </c>
      <c r="AB1" s="53" t="s">
        <v>41</v>
      </c>
    </row>
    <row r="2" spans="1:30" s="56" customFormat="1" x14ac:dyDescent="0.25">
      <c r="A2" s="57">
        <v>1</v>
      </c>
      <c r="B2" s="58">
        <f t="shared" ref="B2:B16" si="1">N2</f>
        <v>0</v>
      </c>
      <c r="C2" s="57">
        <f t="shared" ref="C2:C16" si="2">T2</f>
        <v>83.612040133779274</v>
      </c>
      <c r="D2" s="57">
        <f t="shared" ref="D2:D16" si="3">U2</f>
        <v>14000000</v>
      </c>
      <c r="E2" s="57">
        <f t="shared" ref="E2:E16" si="4">V2</f>
        <v>167440</v>
      </c>
      <c r="F2" s="57">
        <f t="shared" ref="F2:F16" si="5">ROUND((E2/10.764),0)</f>
        <v>15556</v>
      </c>
      <c r="G2" s="58">
        <f t="shared" si="0"/>
        <v>0</v>
      </c>
      <c r="H2" s="58">
        <f t="shared" si="0"/>
        <v>0</v>
      </c>
      <c r="I2" s="58">
        <f t="shared" si="0"/>
        <v>0</v>
      </c>
      <c r="J2" s="58">
        <f t="shared" si="0"/>
        <v>14000000</v>
      </c>
      <c r="K2" s="58">
        <f t="shared" si="0"/>
        <v>167439.99999999997</v>
      </c>
      <c r="L2" s="58" t="e">
        <f t="shared" si="0"/>
        <v>#DIV/0!</v>
      </c>
      <c r="O2" s="56">
        <v>0</v>
      </c>
      <c r="P2" s="56">
        <f t="shared" ref="P2:P16" si="6">O2*2.47107605477881</f>
        <v>0</v>
      </c>
      <c r="Q2" s="56">
        <f t="shared" ref="Q2:Q16" si="7">P2*40.0001976870614</f>
        <v>0</v>
      </c>
      <c r="R2" s="56">
        <f t="shared" ref="R2:R16" si="8">Q2*121.0167464</f>
        <v>0</v>
      </c>
      <c r="S2" s="56">
        <v>900</v>
      </c>
      <c r="T2" s="56">
        <f t="shared" ref="T2:T16" si="9">S2/10.764</f>
        <v>83.612040133779274</v>
      </c>
      <c r="U2" s="56">
        <v>14000000</v>
      </c>
      <c r="V2" s="56">
        <f t="shared" ref="V2:V16" si="10">ROUND((U2/T2),0)</f>
        <v>167440</v>
      </c>
      <c r="W2" s="57">
        <v>0</v>
      </c>
      <c r="X2" s="56">
        <v>0</v>
      </c>
      <c r="Y2" s="56">
        <f t="shared" ref="Y2:Y16" si="11">W2*X2</f>
        <v>0</v>
      </c>
      <c r="Z2" s="56">
        <f t="shared" ref="Z2:Z16" si="12">U2-Y2</f>
        <v>14000000</v>
      </c>
      <c r="AA2" s="63">
        <f t="shared" ref="AA2:AA16" si="13">Z2/T2</f>
        <v>167439.99999999997</v>
      </c>
      <c r="AB2" s="56" t="e">
        <f t="shared" ref="AB2:AB16" si="14">Z2/R2</f>
        <v>#DIV/0!</v>
      </c>
    </row>
    <row r="3" spans="1:30" s="56" customFormat="1" x14ac:dyDescent="0.25">
      <c r="A3" s="57">
        <v>2</v>
      </c>
      <c r="B3" s="58">
        <f t="shared" si="1"/>
        <v>0</v>
      </c>
      <c r="C3" s="57">
        <f t="shared" si="2"/>
        <v>56.670382757339283</v>
      </c>
      <c r="D3" s="57">
        <f t="shared" si="3"/>
        <v>8000000</v>
      </c>
      <c r="E3" s="57">
        <f t="shared" si="4"/>
        <v>141167</v>
      </c>
      <c r="F3" s="57">
        <f t="shared" si="5"/>
        <v>13115</v>
      </c>
      <c r="G3" s="58">
        <f t="shared" si="0"/>
        <v>0</v>
      </c>
      <c r="H3" s="58">
        <f t="shared" si="0"/>
        <v>0</v>
      </c>
      <c r="I3" s="58">
        <f t="shared" si="0"/>
        <v>0</v>
      </c>
      <c r="J3" s="58">
        <f t="shared" si="0"/>
        <v>8000000</v>
      </c>
      <c r="K3" s="58">
        <f t="shared" si="0"/>
        <v>141167.21311475409</v>
      </c>
      <c r="L3" s="58" t="e">
        <f t="shared" si="0"/>
        <v>#DIV/0!</v>
      </c>
      <c r="O3" s="56">
        <v>0</v>
      </c>
      <c r="P3" s="56">
        <f t="shared" si="6"/>
        <v>0</v>
      </c>
      <c r="Q3" s="56">
        <f t="shared" si="7"/>
        <v>0</v>
      </c>
      <c r="R3" s="56">
        <f t="shared" si="8"/>
        <v>0</v>
      </c>
      <c r="S3" s="56">
        <v>610</v>
      </c>
      <c r="T3" s="56">
        <f t="shared" si="9"/>
        <v>56.670382757339283</v>
      </c>
      <c r="U3" s="56">
        <v>8000000</v>
      </c>
      <c r="V3" s="56">
        <f t="shared" si="10"/>
        <v>141167</v>
      </c>
      <c r="W3" s="57">
        <v>0</v>
      </c>
      <c r="X3" s="56">
        <v>0</v>
      </c>
      <c r="Y3" s="56">
        <f t="shared" si="11"/>
        <v>0</v>
      </c>
      <c r="Z3" s="56">
        <f t="shared" si="12"/>
        <v>8000000</v>
      </c>
      <c r="AA3" s="64">
        <f t="shared" si="13"/>
        <v>141167.21311475409</v>
      </c>
      <c r="AB3" s="56" t="e">
        <f t="shared" si="14"/>
        <v>#DIV/0!</v>
      </c>
    </row>
    <row r="4" spans="1:30" s="56" customFormat="1" x14ac:dyDescent="0.25">
      <c r="A4" s="57">
        <v>3</v>
      </c>
      <c r="B4" s="58">
        <f t="shared" si="1"/>
        <v>0</v>
      </c>
      <c r="C4" s="57">
        <f t="shared" si="2"/>
        <v>126.99739873652918</v>
      </c>
      <c r="D4" s="57">
        <f t="shared" si="3"/>
        <v>40000000</v>
      </c>
      <c r="E4" s="57">
        <f t="shared" si="4"/>
        <v>314967</v>
      </c>
      <c r="F4" s="57">
        <f t="shared" si="5"/>
        <v>29261</v>
      </c>
      <c r="G4" s="58">
        <f t="shared" si="0"/>
        <v>0</v>
      </c>
      <c r="H4" s="58">
        <f t="shared" si="0"/>
        <v>0</v>
      </c>
      <c r="I4" s="58">
        <f t="shared" si="0"/>
        <v>0</v>
      </c>
      <c r="J4" s="58">
        <f t="shared" si="0"/>
        <v>40000000</v>
      </c>
      <c r="K4" s="58">
        <f t="shared" si="0"/>
        <v>314967.08119970735</v>
      </c>
      <c r="L4" s="58" t="e">
        <f t="shared" si="0"/>
        <v>#DIV/0!</v>
      </c>
      <c r="O4" s="56">
        <v>0</v>
      </c>
      <c r="P4" s="56">
        <f t="shared" si="6"/>
        <v>0</v>
      </c>
      <c r="Q4" s="56">
        <f t="shared" si="7"/>
        <v>0</v>
      </c>
      <c r="R4" s="56">
        <f t="shared" si="8"/>
        <v>0</v>
      </c>
      <c r="S4" s="56">
        <v>1367</v>
      </c>
      <c r="T4" s="56">
        <f t="shared" si="9"/>
        <v>126.99739873652918</v>
      </c>
      <c r="U4" s="56">
        <v>40000000</v>
      </c>
      <c r="V4" s="56">
        <f t="shared" si="10"/>
        <v>314967</v>
      </c>
      <c r="W4" s="57">
        <v>0</v>
      </c>
      <c r="X4" s="56">
        <v>0</v>
      </c>
      <c r="Y4" s="56">
        <f t="shared" si="11"/>
        <v>0</v>
      </c>
      <c r="Z4" s="56">
        <f t="shared" si="12"/>
        <v>40000000</v>
      </c>
      <c r="AA4" s="56">
        <f t="shared" si="13"/>
        <v>314967.08119970735</v>
      </c>
      <c r="AB4" s="56" t="e">
        <f t="shared" si="14"/>
        <v>#DIV/0!</v>
      </c>
    </row>
    <row r="5" spans="1:30" s="56" customFormat="1" x14ac:dyDescent="0.25">
      <c r="A5" s="57">
        <v>4</v>
      </c>
      <c r="B5" s="58">
        <f t="shared" si="1"/>
        <v>0</v>
      </c>
      <c r="C5" s="57">
        <f t="shared" si="2"/>
        <v>68.190263842437759</v>
      </c>
      <c r="D5" s="57">
        <f t="shared" si="3"/>
        <v>12200000</v>
      </c>
      <c r="E5" s="57">
        <f t="shared" si="4"/>
        <v>178911</v>
      </c>
      <c r="F5" s="57">
        <f t="shared" si="5"/>
        <v>16621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12200000</v>
      </c>
      <c r="K5" s="58">
        <f t="shared" si="0"/>
        <v>178911.17166212533</v>
      </c>
      <c r="L5" s="58" t="e">
        <f t="shared" si="0"/>
        <v>#DIV/0!</v>
      </c>
      <c r="O5" s="56">
        <v>0</v>
      </c>
      <c r="P5" s="56">
        <f t="shared" si="6"/>
        <v>0</v>
      </c>
      <c r="Q5" s="56">
        <f t="shared" si="7"/>
        <v>0</v>
      </c>
      <c r="R5" s="56">
        <f t="shared" si="8"/>
        <v>0</v>
      </c>
      <c r="S5" s="56">
        <v>734</v>
      </c>
      <c r="T5" s="56">
        <f t="shared" si="9"/>
        <v>68.190263842437759</v>
      </c>
      <c r="U5" s="56">
        <v>12200000</v>
      </c>
      <c r="V5" s="56">
        <f t="shared" si="10"/>
        <v>178911</v>
      </c>
      <c r="W5" s="57">
        <v>0</v>
      </c>
      <c r="X5" s="56">
        <v>0</v>
      </c>
      <c r="Y5" s="56">
        <f t="shared" si="11"/>
        <v>0</v>
      </c>
      <c r="Z5" s="56">
        <f t="shared" si="12"/>
        <v>12200000</v>
      </c>
      <c r="AA5" s="56">
        <f t="shared" si="13"/>
        <v>178911.17166212533</v>
      </c>
      <c r="AB5" s="56" t="e">
        <f t="shared" si="14"/>
        <v>#DIV/0!</v>
      </c>
    </row>
    <row r="6" spans="1:30" s="56" customFormat="1" x14ac:dyDescent="0.25">
      <c r="A6" s="57">
        <v>5</v>
      </c>
      <c r="B6" s="58">
        <f t="shared" si="1"/>
        <v>0</v>
      </c>
      <c r="C6" s="57">
        <f t="shared" si="2"/>
        <v>45</v>
      </c>
      <c r="D6" s="57">
        <f t="shared" si="3"/>
        <v>7500000</v>
      </c>
      <c r="E6" s="57">
        <f t="shared" si="4"/>
        <v>166667</v>
      </c>
      <c r="F6" s="57">
        <f t="shared" si="5"/>
        <v>15484</v>
      </c>
      <c r="G6" s="58">
        <f t="shared" si="0"/>
        <v>0</v>
      </c>
      <c r="H6" s="58">
        <f t="shared" si="0"/>
        <v>0</v>
      </c>
      <c r="I6" s="58">
        <f t="shared" si="0"/>
        <v>0</v>
      </c>
      <c r="J6" s="58">
        <f t="shared" si="0"/>
        <v>7500000</v>
      </c>
      <c r="K6" s="58">
        <f t="shared" si="0"/>
        <v>166666.66666666666</v>
      </c>
      <c r="L6" s="58" t="e">
        <f t="shared" si="0"/>
        <v>#DIV/0!</v>
      </c>
      <c r="O6" s="56">
        <v>0</v>
      </c>
      <c r="P6" s="56">
        <f t="shared" si="6"/>
        <v>0</v>
      </c>
      <c r="Q6" s="56">
        <f t="shared" si="7"/>
        <v>0</v>
      </c>
      <c r="R6" s="56">
        <f t="shared" si="8"/>
        <v>0</v>
      </c>
      <c r="S6" s="56">
        <f t="shared" ref="S6:S16" si="15">R6*8.99870078651798</f>
        <v>0</v>
      </c>
      <c r="T6" s="56">
        <v>45</v>
      </c>
      <c r="U6" s="56">
        <v>7500000</v>
      </c>
      <c r="V6" s="56">
        <f t="shared" si="10"/>
        <v>166667</v>
      </c>
      <c r="W6" s="57">
        <v>0</v>
      </c>
      <c r="X6" s="56">
        <v>0</v>
      </c>
      <c r="Y6" s="56">
        <f t="shared" si="11"/>
        <v>0</v>
      </c>
      <c r="Z6" s="56">
        <f t="shared" si="12"/>
        <v>7500000</v>
      </c>
      <c r="AA6" s="63">
        <f t="shared" si="13"/>
        <v>166666.66666666666</v>
      </c>
      <c r="AB6" s="56" t="e">
        <f t="shared" si="14"/>
        <v>#DIV/0!</v>
      </c>
    </row>
    <row r="7" spans="1:30" s="56" customFormat="1" x14ac:dyDescent="0.25">
      <c r="A7" s="57">
        <v>6</v>
      </c>
      <c r="B7" s="58">
        <f t="shared" si="1"/>
        <v>0</v>
      </c>
      <c r="C7" s="57">
        <f t="shared" si="2"/>
        <v>0</v>
      </c>
      <c r="D7" s="57">
        <f t="shared" si="3"/>
        <v>6800000</v>
      </c>
      <c r="E7" s="57" t="e">
        <f t="shared" si="4"/>
        <v>#DIV/0!</v>
      </c>
      <c r="F7" s="57" t="e">
        <f t="shared" si="5"/>
        <v>#DIV/0!</v>
      </c>
      <c r="G7" s="58">
        <f t="shared" si="0"/>
        <v>43.01</v>
      </c>
      <c r="H7" s="58">
        <f t="shared" si="0"/>
        <v>0</v>
      </c>
      <c r="I7" s="58">
        <f t="shared" si="0"/>
        <v>0</v>
      </c>
      <c r="J7" s="58">
        <f t="shared" si="0"/>
        <v>6800000</v>
      </c>
      <c r="K7" s="58" t="e">
        <f t="shared" si="0"/>
        <v>#DIV/0!</v>
      </c>
      <c r="L7" s="58" t="e">
        <f t="shared" si="0"/>
        <v>#DIV/0!</v>
      </c>
      <c r="O7" s="56">
        <v>0</v>
      </c>
      <c r="P7" s="56">
        <f t="shared" si="6"/>
        <v>0</v>
      </c>
      <c r="Q7" s="56">
        <f t="shared" si="7"/>
        <v>0</v>
      </c>
      <c r="R7" s="56">
        <f t="shared" si="8"/>
        <v>0</v>
      </c>
      <c r="S7" s="56">
        <f t="shared" si="15"/>
        <v>0</v>
      </c>
      <c r="T7" s="56">
        <f t="shared" si="9"/>
        <v>0</v>
      </c>
      <c r="U7" s="56">
        <v>6800000</v>
      </c>
      <c r="V7" s="56" t="e">
        <f t="shared" si="10"/>
        <v>#DIV/0!</v>
      </c>
      <c r="W7" s="57">
        <f>43.01</f>
        <v>43.01</v>
      </c>
      <c r="X7" s="56">
        <v>0</v>
      </c>
      <c r="Y7" s="56">
        <f t="shared" si="11"/>
        <v>0</v>
      </c>
      <c r="Z7" s="56">
        <f t="shared" si="12"/>
        <v>6800000</v>
      </c>
      <c r="AA7" s="56" t="e">
        <f t="shared" si="13"/>
        <v>#DIV/0!</v>
      </c>
      <c r="AB7" s="56" t="e">
        <f t="shared" si="14"/>
        <v>#DIV/0!</v>
      </c>
      <c r="AC7" s="56">
        <f>Z7/W7</f>
        <v>158102.76679841898</v>
      </c>
      <c r="AD7" s="56">
        <f>AC7/10.764</f>
        <v>14688.105425345502</v>
      </c>
    </row>
    <row r="8" spans="1:30" s="56" customFormat="1" x14ac:dyDescent="0.25">
      <c r="A8" s="57">
        <v>7</v>
      </c>
      <c r="B8" s="58">
        <f t="shared" si="1"/>
        <v>0</v>
      </c>
      <c r="C8" s="57">
        <f t="shared" si="2"/>
        <v>0</v>
      </c>
      <c r="D8" s="57">
        <f t="shared" si="3"/>
        <v>8000000</v>
      </c>
      <c r="E8" s="57" t="e">
        <f t="shared" si="4"/>
        <v>#DIV/0!</v>
      </c>
      <c r="F8" s="57" t="e">
        <f t="shared" si="5"/>
        <v>#DIV/0!</v>
      </c>
      <c r="G8" s="58">
        <f t="shared" si="0"/>
        <v>43.33</v>
      </c>
      <c r="H8" s="58">
        <f t="shared" si="0"/>
        <v>0</v>
      </c>
      <c r="I8" s="58">
        <f t="shared" si="0"/>
        <v>0</v>
      </c>
      <c r="J8" s="58">
        <f t="shared" si="0"/>
        <v>8000000</v>
      </c>
      <c r="K8" s="58" t="e">
        <f t="shared" si="0"/>
        <v>#DIV/0!</v>
      </c>
      <c r="L8" s="58" t="e">
        <f t="shared" si="0"/>
        <v>#DIV/0!</v>
      </c>
      <c r="O8" s="56">
        <v>0</v>
      </c>
      <c r="P8" s="56">
        <f t="shared" si="6"/>
        <v>0</v>
      </c>
      <c r="Q8" s="56">
        <f t="shared" si="7"/>
        <v>0</v>
      </c>
      <c r="R8" s="56">
        <f t="shared" si="8"/>
        <v>0</v>
      </c>
      <c r="S8" s="56">
        <f t="shared" si="15"/>
        <v>0</v>
      </c>
      <c r="T8" s="56">
        <f t="shared" si="9"/>
        <v>0</v>
      </c>
      <c r="U8" s="56">
        <v>8000000</v>
      </c>
      <c r="V8" s="56" t="e">
        <f t="shared" si="10"/>
        <v>#DIV/0!</v>
      </c>
      <c r="W8" s="57">
        <f>43.33</f>
        <v>43.33</v>
      </c>
      <c r="X8" s="56">
        <v>0</v>
      </c>
      <c r="Y8" s="56">
        <f t="shared" si="11"/>
        <v>0</v>
      </c>
      <c r="Z8" s="56">
        <f t="shared" si="12"/>
        <v>8000000</v>
      </c>
      <c r="AA8" s="56" t="e">
        <f t="shared" si="13"/>
        <v>#DIV/0!</v>
      </c>
      <c r="AB8" s="56" t="e">
        <f t="shared" si="14"/>
        <v>#DIV/0!</v>
      </c>
      <c r="AC8" s="56">
        <f>Z8/W8</f>
        <v>184629.58689129935</v>
      </c>
      <c r="AD8" s="56">
        <f t="shared" ref="AD8:AD10" si="16">AC8/10.764</f>
        <v>17152.507143376009</v>
      </c>
    </row>
    <row r="9" spans="1:30" s="56" customFormat="1" x14ac:dyDescent="0.25">
      <c r="A9" s="57">
        <v>8</v>
      </c>
      <c r="B9" s="58">
        <f t="shared" si="1"/>
        <v>0</v>
      </c>
      <c r="C9" s="57">
        <f t="shared" si="2"/>
        <v>0</v>
      </c>
      <c r="D9" s="57">
        <f t="shared" si="3"/>
        <v>6500000</v>
      </c>
      <c r="E9" s="57" t="e">
        <f t="shared" si="4"/>
        <v>#DIV/0!</v>
      </c>
      <c r="F9" s="57" t="e">
        <f t="shared" si="5"/>
        <v>#DIV/0!</v>
      </c>
      <c r="G9" s="58">
        <f t="shared" si="0"/>
        <v>40.950000000000003</v>
      </c>
      <c r="H9" s="58">
        <f t="shared" si="0"/>
        <v>0</v>
      </c>
      <c r="I9" s="58">
        <f t="shared" si="0"/>
        <v>0</v>
      </c>
      <c r="J9" s="58">
        <f t="shared" si="0"/>
        <v>6500000</v>
      </c>
      <c r="K9" s="58" t="e">
        <f t="shared" si="0"/>
        <v>#DIV/0!</v>
      </c>
      <c r="L9" s="58" t="e">
        <f t="shared" si="0"/>
        <v>#DIV/0!</v>
      </c>
      <c r="O9" s="56">
        <v>0</v>
      </c>
      <c r="P9" s="56">
        <f t="shared" si="6"/>
        <v>0</v>
      </c>
      <c r="Q9" s="56">
        <f t="shared" si="7"/>
        <v>0</v>
      </c>
      <c r="R9" s="56">
        <f t="shared" si="8"/>
        <v>0</v>
      </c>
      <c r="S9" s="56">
        <f t="shared" si="15"/>
        <v>0</v>
      </c>
      <c r="T9" s="56">
        <f t="shared" si="9"/>
        <v>0</v>
      </c>
      <c r="U9" s="56">
        <v>6500000</v>
      </c>
      <c r="V9" s="56" t="e">
        <f t="shared" si="10"/>
        <v>#DIV/0!</v>
      </c>
      <c r="W9" s="57">
        <f>40.95</f>
        <v>40.950000000000003</v>
      </c>
      <c r="X9" s="56">
        <v>0</v>
      </c>
      <c r="Y9" s="56">
        <f t="shared" si="11"/>
        <v>0</v>
      </c>
      <c r="Z9" s="56">
        <f t="shared" si="12"/>
        <v>6500000</v>
      </c>
      <c r="AA9" s="56" t="e">
        <f t="shared" si="13"/>
        <v>#DIV/0!</v>
      </c>
      <c r="AB9" s="56" t="e">
        <f t="shared" si="14"/>
        <v>#DIV/0!</v>
      </c>
      <c r="AC9" s="56">
        <f>Z9/W9</f>
        <v>158730.15873015873</v>
      </c>
      <c r="AD9" s="56">
        <f t="shared" si="16"/>
        <v>14746.391557985762</v>
      </c>
    </row>
    <row r="10" spans="1:30" s="56" customFormat="1" x14ac:dyDescent="0.25">
      <c r="A10" s="57">
        <v>9</v>
      </c>
      <c r="B10" s="58">
        <f t="shared" si="1"/>
        <v>0</v>
      </c>
      <c r="C10" s="57">
        <f t="shared" si="2"/>
        <v>0</v>
      </c>
      <c r="D10" s="57">
        <f t="shared" si="3"/>
        <v>6500000</v>
      </c>
      <c r="E10" s="57" t="e">
        <f t="shared" si="4"/>
        <v>#DIV/0!</v>
      </c>
      <c r="F10" s="57" t="e">
        <f t="shared" si="5"/>
        <v>#DIV/0!</v>
      </c>
      <c r="G10" s="58">
        <f t="shared" si="0"/>
        <v>40.950000000000003</v>
      </c>
      <c r="H10" s="58">
        <f t="shared" si="0"/>
        <v>0</v>
      </c>
      <c r="I10" s="58">
        <f t="shared" si="0"/>
        <v>0</v>
      </c>
      <c r="J10" s="58">
        <f t="shared" si="0"/>
        <v>6500000</v>
      </c>
      <c r="K10" s="58" t="e">
        <f t="shared" si="0"/>
        <v>#DIV/0!</v>
      </c>
      <c r="L10" s="58" t="e">
        <f t="shared" si="0"/>
        <v>#DIV/0!</v>
      </c>
      <c r="O10" s="56">
        <v>0</v>
      </c>
      <c r="P10" s="56">
        <f t="shared" si="6"/>
        <v>0</v>
      </c>
      <c r="Q10" s="56">
        <f t="shared" si="7"/>
        <v>0</v>
      </c>
      <c r="R10" s="56">
        <f t="shared" si="8"/>
        <v>0</v>
      </c>
      <c r="S10" s="56">
        <f t="shared" si="15"/>
        <v>0</v>
      </c>
      <c r="T10" s="56">
        <f t="shared" si="9"/>
        <v>0</v>
      </c>
      <c r="U10" s="56">
        <v>6500000</v>
      </c>
      <c r="V10" s="56" t="e">
        <f t="shared" si="10"/>
        <v>#DIV/0!</v>
      </c>
      <c r="W10" s="57">
        <f>40.95</f>
        <v>40.950000000000003</v>
      </c>
      <c r="X10" s="56">
        <v>0</v>
      </c>
      <c r="Y10" s="56">
        <f t="shared" si="11"/>
        <v>0</v>
      </c>
      <c r="Z10" s="56">
        <f t="shared" si="12"/>
        <v>6500000</v>
      </c>
      <c r="AA10" s="56" t="e">
        <f t="shared" si="13"/>
        <v>#DIV/0!</v>
      </c>
      <c r="AB10" s="56" t="e">
        <f t="shared" si="14"/>
        <v>#DIV/0!</v>
      </c>
      <c r="AC10" s="56">
        <f>Z10/W10</f>
        <v>158730.15873015873</v>
      </c>
      <c r="AD10" s="56">
        <f t="shared" si="16"/>
        <v>14746.391557985762</v>
      </c>
    </row>
    <row r="11" spans="1:30" s="56" customFormat="1" x14ac:dyDescent="0.25">
      <c r="A11" s="57">
        <v>10</v>
      </c>
      <c r="B11" s="58">
        <f t="shared" si="1"/>
        <v>0</v>
      </c>
      <c r="C11" s="57">
        <f t="shared" si="2"/>
        <v>200.8</v>
      </c>
      <c r="D11" s="57">
        <f t="shared" si="3"/>
        <v>39000000</v>
      </c>
      <c r="E11" s="57">
        <f t="shared" si="4"/>
        <v>194223</v>
      </c>
      <c r="F11" s="57">
        <f t="shared" si="5"/>
        <v>18044</v>
      </c>
      <c r="G11" s="58">
        <f t="shared" si="0"/>
        <v>166.24</v>
      </c>
      <c r="H11" s="58">
        <f t="shared" si="0"/>
        <v>30000</v>
      </c>
      <c r="I11" s="58">
        <f t="shared" si="0"/>
        <v>4987200</v>
      </c>
      <c r="J11" s="58">
        <f t="shared" si="0"/>
        <v>34012800</v>
      </c>
      <c r="K11" s="58">
        <f t="shared" si="0"/>
        <v>169386.45418326693</v>
      </c>
      <c r="L11" s="58" t="e">
        <f t="shared" si="0"/>
        <v>#DIV/0!</v>
      </c>
      <c r="O11" s="56">
        <v>0</v>
      </c>
      <c r="P11" s="56">
        <f t="shared" si="6"/>
        <v>0</v>
      </c>
      <c r="Q11" s="56">
        <f t="shared" si="7"/>
        <v>0</v>
      </c>
      <c r="R11" s="56">
        <f t="shared" si="8"/>
        <v>0</v>
      </c>
      <c r="S11" s="56">
        <f t="shared" si="15"/>
        <v>0</v>
      </c>
      <c r="T11" s="56">
        <v>200.8</v>
      </c>
      <c r="U11" s="56">
        <v>39000000</v>
      </c>
      <c r="V11" s="56">
        <f t="shared" si="10"/>
        <v>194223</v>
      </c>
      <c r="W11" s="57">
        <v>166.24</v>
      </c>
      <c r="X11" s="56">
        <v>30000</v>
      </c>
      <c r="Y11" s="56">
        <f>W11*X11</f>
        <v>4987200</v>
      </c>
      <c r="Z11" s="56">
        <f>U11-Y11</f>
        <v>34012800</v>
      </c>
      <c r="AA11" s="63">
        <f>Z11/T11</f>
        <v>169386.45418326693</v>
      </c>
      <c r="AB11" s="56" t="e">
        <f t="shared" si="14"/>
        <v>#DIV/0!</v>
      </c>
    </row>
    <row r="12" spans="1:30" s="56" customFormat="1" x14ac:dyDescent="0.25">
      <c r="A12" s="57">
        <v>11</v>
      </c>
      <c r="B12" s="58">
        <f t="shared" si="1"/>
        <v>0</v>
      </c>
      <c r="C12" s="57">
        <f t="shared" si="2"/>
        <v>0</v>
      </c>
      <c r="D12" s="57">
        <f t="shared" si="3"/>
        <v>10000000</v>
      </c>
      <c r="E12" s="57" t="e">
        <f t="shared" si="4"/>
        <v>#DIV/0!</v>
      </c>
      <c r="F12" s="57" t="e">
        <f t="shared" si="5"/>
        <v>#DIV/0!</v>
      </c>
      <c r="G12" s="58">
        <f t="shared" si="0"/>
        <v>45.93</v>
      </c>
      <c r="H12" s="58">
        <f t="shared" si="0"/>
        <v>0</v>
      </c>
      <c r="I12" s="58">
        <f t="shared" si="0"/>
        <v>0</v>
      </c>
      <c r="J12" s="58">
        <f t="shared" si="0"/>
        <v>10000000</v>
      </c>
      <c r="K12" s="58" t="e">
        <f t="shared" si="0"/>
        <v>#DIV/0!</v>
      </c>
      <c r="L12" s="58" t="e">
        <f t="shared" si="0"/>
        <v>#DIV/0!</v>
      </c>
      <c r="O12" s="56">
        <v>0</v>
      </c>
      <c r="P12" s="56">
        <f t="shared" si="6"/>
        <v>0</v>
      </c>
      <c r="Q12" s="56">
        <f t="shared" si="7"/>
        <v>0</v>
      </c>
      <c r="R12" s="56">
        <f t="shared" si="8"/>
        <v>0</v>
      </c>
      <c r="S12" s="56">
        <f t="shared" si="15"/>
        <v>0</v>
      </c>
      <c r="T12" s="56">
        <f t="shared" si="9"/>
        <v>0</v>
      </c>
      <c r="U12" s="56">
        <v>10000000</v>
      </c>
      <c r="V12" s="56" t="e">
        <f t="shared" si="10"/>
        <v>#DIV/0!</v>
      </c>
      <c r="W12" s="57">
        <f>45.93</f>
        <v>45.93</v>
      </c>
      <c r="X12" s="56">
        <v>0</v>
      </c>
      <c r="Y12" s="56">
        <f t="shared" si="11"/>
        <v>0</v>
      </c>
      <c r="Z12" s="56">
        <f t="shared" si="12"/>
        <v>10000000</v>
      </c>
      <c r="AA12" s="56" t="e">
        <f t="shared" si="13"/>
        <v>#DIV/0!</v>
      </c>
      <c r="AB12" s="56" t="e">
        <f t="shared" si="14"/>
        <v>#DIV/0!</v>
      </c>
      <c r="AC12" s="56">
        <f>Z12/W12</f>
        <v>217722.62138036141</v>
      </c>
      <c r="AD12" s="56">
        <f>AC12/10.764</f>
        <v>20226.92506320712</v>
      </c>
    </row>
    <row r="13" spans="1:30" s="56" customFormat="1" x14ac:dyDescent="0.25">
      <c r="A13" s="57">
        <v>12</v>
      </c>
      <c r="B13" s="58">
        <f t="shared" si="1"/>
        <v>0</v>
      </c>
      <c r="C13" s="57">
        <f t="shared" si="2"/>
        <v>0</v>
      </c>
      <c r="D13" s="57">
        <f t="shared" si="3"/>
        <v>10900000</v>
      </c>
      <c r="E13" s="57" t="e">
        <f t="shared" si="4"/>
        <v>#DIV/0!</v>
      </c>
      <c r="F13" s="57" t="e">
        <f t="shared" si="5"/>
        <v>#DIV/0!</v>
      </c>
      <c r="G13" s="58">
        <f t="shared" si="0"/>
        <v>56.600999999999999</v>
      </c>
      <c r="H13" s="58">
        <f t="shared" si="0"/>
        <v>0</v>
      </c>
      <c r="I13" s="58">
        <f t="shared" si="0"/>
        <v>0</v>
      </c>
      <c r="J13" s="58">
        <f t="shared" si="0"/>
        <v>10900000</v>
      </c>
      <c r="K13" s="58" t="e">
        <f t="shared" si="0"/>
        <v>#DIV/0!</v>
      </c>
      <c r="L13" s="58" t="e">
        <f t="shared" si="0"/>
        <v>#DIV/0!</v>
      </c>
      <c r="O13" s="56">
        <v>0</v>
      </c>
      <c r="P13" s="56">
        <f t="shared" si="6"/>
        <v>0</v>
      </c>
      <c r="Q13" s="56">
        <f t="shared" si="7"/>
        <v>0</v>
      </c>
      <c r="R13" s="56">
        <f t="shared" si="8"/>
        <v>0</v>
      </c>
      <c r="S13" s="56">
        <f t="shared" si="15"/>
        <v>0</v>
      </c>
      <c r="T13" s="56">
        <f t="shared" si="9"/>
        <v>0</v>
      </c>
      <c r="U13" s="56">
        <v>10900000</v>
      </c>
      <c r="V13" s="56" t="e">
        <f t="shared" si="10"/>
        <v>#DIV/0!</v>
      </c>
      <c r="W13" s="57">
        <v>56.600999999999999</v>
      </c>
      <c r="X13" s="56">
        <v>0</v>
      </c>
      <c r="Y13" s="56">
        <f t="shared" si="11"/>
        <v>0</v>
      </c>
      <c r="Z13" s="56">
        <f t="shared" si="12"/>
        <v>10900000</v>
      </c>
      <c r="AA13" s="56" t="e">
        <f t="shared" si="13"/>
        <v>#DIV/0!</v>
      </c>
      <c r="AB13" s="56" t="e">
        <f t="shared" si="14"/>
        <v>#DIV/0!</v>
      </c>
      <c r="AC13" s="56">
        <f>Z13/W13</f>
        <v>192576.10289570855</v>
      </c>
      <c r="AD13" s="56">
        <f>AC13/10.764</f>
        <v>17890.756493469766</v>
      </c>
    </row>
    <row r="14" spans="1:30" s="56" customFormat="1" x14ac:dyDescent="0.25">
      <c r="A14" s="57">
        <v>13</v>
      </c>
      <c r="B14" s="58">
        <f t="shared" si="1"/>
        <v>0</v>
      </c>
      <c r="C14" s="57">
        <f t="shared" si="2"/>
        <v>0</v>
      </c>
      <c r="D14" s="57">
        <f t="shared" si="3"/>
        <v>17200000</v>
      </c>
      <c r="E14" s="57" t="e">
        <f t="shared" si="4"/>
        <v>#DIV/0!</v>
      </c>
      <c r="F14" s="57" t="e">
        <f t="shared" si="5"/>
        <v>#DIV/0!</v>
      </c>
      <c r="G14" s="58">
        <f t="shared" si="0"/>
        <v>114.643</v>
      </c>
      <c r="H14" s="58">
        <f t="shared" si="0"/>
        <v>0</v>
      </c>
      <c r="I14" s="58">
        <f t="shared" si="0"/>
        <v>0</v>
      </c>
      <c r="J14" s="58">
        <f t="shared" si="0"/>
        <v>17200000</v>
      </c>
      <c r="K14" s="58" t="e">
        <f t="shared" si="0"/>
        <v>#DIV/0!</v>
      </c>
      <c r="L14" s="58" t="e">
        <f t="shared" si="0"/>
        <v>#DIV/0!</v>
      </c>
      <c r="O14" s="56">
        <v>0</v>
      </c>
      <c r="P14" s="56">
        <f t="shared" si="6"/>
        <v>0</v>
      </c>
      <c r="Q14" s="56">
        <f t="shared" si="7"/>
        <v>0</v>
      </c>
      <c r="R14" s="56">
        <f t="shared" si="8"/>
        <v>0</v>
      </c>
      <c r="S14" s="56">
        <f t="shared" si="15"/>
        <v>0</v>
      </c>
      <c r="T14" s="56">
        <f t="shared" si="9"/>
        <v>0</v>
      </c>
      <c r="U14" s="56">
        <v>17200000</v>
      </c>
      <c r="V14" s="56" t="e">
        <f t="shared" si="10"/>
        <v>#DIV/0!</v>
      </c>
      <c r="W14" s="57">
        <f>104.563+10.08</f>
        <v>114.643</v>
      </c>
      <c r="X14" s="56">
        <v>0</v>
      </c>
      <c r="Y14" s="56">
        <f t="shared" si="11"/>
        <v>0</v>
      </c>
      <c r="Z14" s="56">
        <f t="shared" si="12"/>
        <v>17200000</v>
      </c>
      <c r="AA14" s="56" t="e">
        <f t="shared" si="13"/>
        <v>#DIV/0!</v>
      </c>
      <c r="AB14" s="56" t="e">
        <f t="shared" si="14"/>
        <v>#DIV/0!</v>
      </c>
      <c r="AC14" s="56">
        <f>Z14/W14</f>
        <v>150030.96569350068</v>
      </c>
      <c r="AD14" s="56">
        <f>AC14/10.764</f>
        <v>13938.216805416267</v>
      </c>
    </row>
    <row r="15" spans="1:30" s="56" customFormat="1" x14ac:dyDescent="0.25">
      <c r="A15" s="57">
        <v>14</v>
      </c>
      <c r="B15" s="58">
        <f t="shared" si="1"/>
        <v>0</v>
      </c>
      <c r="C15" s="57">
        <f t="shared" si="2"/>
        <v>0</v>
      </c>
      <c r="D15" s="57">
        <f t="shared" si="3"/>
        <v>9000000</v>
      </c>
      <c r="E15" s="57" t="e">
        <f t="shared" si="4"/>
        <v>#DIV/0!</v>
      </c>
      <c r="F15" s="57" t="e">
        <f t="shared" si="5"/>
        <v>#DIV/0!</v>
      </c>
      <c r="G15" s="58">
        <f t="shared" si="0"/>
        <v>61.36</v>
      </c>
      <c r="H15" s="58">
        <f t="shared" si="0"/>
        <v>0</v>
      </c>
      <c r="I15" s="58">
        <f t="shared" si="0"/>
        <v>0</v>
      </c>
      <c r="J15" s="58">
        <f t="shared" si="0"/>
        <v>9000000</v>
      </c>
      <c r="K15" s="58" t="e">
        <f t="shared" si="0"/>
        <v>#DIV/0!</v>
      </c>
      <c r="L15" s="58" t="e">
        <f t="shared" si="0"/>
        <v>#DIV/0!</v>
      </c>
      <c r="O15" s="56">
        <v>0</v>
      </c>
      <c r="P15" s="56">
        <f t="shared" si="6"/>
        <v>0</v>
      </c>
      <c r="Q15" s="56">
        <f t="shared" si="7"/>
        <v>0</v>
      </c>
      <c r="R15" s="56">
        <f t="shared" si="8"/>
        <v>0</v>
      </c>
      <c r="S15" s="56">
        <f t="shared" si="15"/>
        <v>0</v>
      </c>
      <c r="T15" s="56">
        <f t="shared" si="9"/>
        <v>0</v>
      </c>
      <c r="U15" s="56">
        <v>9000000</v>
      </c>
      <c r="V15" s="56" t="e">
        <f t="shared" si="10"/>
        <v>#DIV/0!</v>
      </c>
      <c r="W15" s="57">
        <v>61.36</v>
      </c>
      <c r="X15" s="56">
        <v>0</v>
      </c>
      <c r="Y15" s="56">
        <f t="shared" si="11"/>
        <v>0</v>
      </c>
      <c r="Z15" s="56">
        <f t="shared" si="12"/>
        <v>9000000</v>
      </c>
      <c r="AA15" s="56" t="e">
        <f t="shared" si="13"/>
        <v>#DIV/0!</v>
      </c>
      <c r="AB15" s="56" t="e">
        <f t="shared" si="14"/>
        <v>#DIV/0!</v>
      </c>
      <c r="AC15" s="56">
        <f>Z15/W15</f>
        <v>146675.35853976532</v>
      </c>
      <c r="AD15" s="56">
        <f>AC15/10.764</f>
        <v>13626.47329429258</v>
      </c>
    </row>
    <row r="16" spans="1:30" s="56" customFormat="1" x14ac:dyDescent="0.25">
      <c r="A16" s="57">
        <v>15</v>
      </c>
      <c r="B16" s="58">
        <f t="shared" si="1"/>
        <v>0</v>
      </c>
      <c r="C16" s="57">
        <f t="shared" si="2"/>
        <v>0</v>
      </c>
      <c r="D16" s="57">
        <f t="shared" si="3"/>
        <v>0</v>
      </c>
      <c r="E16" s="57" t="e">
        <f t="shared" si="4"/>
        <v>#DIV/0!</v>
      </c>
      <c r="F16" s="57" t="e">
        <f t="shared" si="5"/>
        <v>#DIV/0!</v>
      </c>
      <c r="G16" s="58">
        <f t="shared" si="0"/>
        <v>0</v>
      </c>
      <c r="H16" s="58">
        <f t="shared" si="0"/>
        <v>0</v>
      </c>
      <c r="I16" s="58">
        <f t="shared" si="0"/>
        <v>0</v>
      </c>
      <c r="J16" s="58">
        <f t="shared" si="0"/>
        <v>0</v>
      </c>
      <c r="K16" s="58" t="e">
        <f t="shared" si="0"/>
        <v>#DIV/0!</v>
      </c>
      <c r="L16" s="58" t="e">
        <f t="shared" si="0"/>
        <v>#DIV/0!</v>
      </c>
      <c r="O16" s="56">
        <v>0</v>
      </c>
      <c r="P16" s="56">
        <f t="shared" si="6"/>
        <v>0</v>
      </c>
      <c r="Q16" s="56">
        <f t="shared" si="7"/>
        <v>0</v>
      </c>
      <c r="R16" s="56">
        <f t="shared" si="8"/>
        <v>0</v>
      </c>
      <c r="S16" s="56">
        <f t="shared" si="15"/>
        <v>0</v>
      </c>
      <c r="T16" s="56">
        <f t="shared" si="9"/>
        <v>0</v>
      </c>
      <c r="U16" s="56">
        <v>0</v>
      </c>
      <c r="V16" s="56" t="e">
        <f t="shared" si="10"/>
        <v>#DIV/0!</v>
      </c>
      <c r="W16" s="57">
        <v>0</v>
      </c>
      <c r="X16" s="56">
        <v>0</v>
      </c>
      <c r="Y16" s="56">
        <f t="shared" si="11"/>
        <v>0</v>
      </c>
      <c r="Z16" s="56">
        <f t="shared" si="12"/>
        <v>0</v>
      </c>
      <c r="AA16" s="56" t="e">
        <f t="shared" si="13"/>
        <v>#DIV/0!</v>
      </c>
      <c r="AB16" s="56" t="e">
        <f t="shared" si="14"/>
        <v>#DIV/0!</v>
      </c>
    </row>
    <row r="17" spans="1:29" s="56" customFormat="1" x14ac:dyDescent="0.25">
      <c r="A17" s="57">
        <v>16</v>
      </c>
      <c r="B17" s="58">
        <f t="shared" ref="B17" si="17">N17</f>
        <v>0</v>
      </c>
      <c r="C17" s="57">
        <f t="shared" ref="C17:E17" si="18">T17</f>
        <v>0</v>
      </c>
      <c r="D17" s="57">
        <f t="shared" si="18"/>
        <v>0</v>
      </c>
      <c r="E17" s="57" t="e">
        <f t="shared" si="18"/>
        <v>#DIV/0!</v>
      </c>
      <c r="F17" s="57" t="e">
        <f t="shared" ref="F17" si="19">ROUND((E17/10.764),0)</f>
        <v>#DIV/0!</v>
      </c>
      <c r="G17" s="58">
        <f t="shared" ref="G17:L17" si="20">W17</f>
        <v>0</v>
      </c>
      <c r="H17" s="58">
        <f t="shared" si="20"/>
        <v>0</v>
      </c>
      <c r="I17" s="58">
        <f t="shared" si="20"/>
        <v>0</v>
      </c>
      <c r="J17" s="58">
        <f t="shared" si="20"/>
        <v>0</v>
      </c>
      <c r="K17" s="58" t="e">
        <f t="shared" si="20"/>
        <v>#DIV/0!</v>
      </c>
      <c r="L17" s="58" t="e">
        <f t="shared" si="20"/>
        <v>#DIV/0!</v>
      </c>
      <c r="O17" s="56">
        <v>0</v>
      </c>
      <c r="P17" s="56">
        <f t="shared" ref="P17" si="21">O17*2.47107605477881</f>
        <v>0</v>
      </c>
      <c r="Q17" s="56">
        <f t="shared" ref="Q17" si="22">P17*40.0001976870614</f>
        <v>0</v>
      </c>
      <c r="R17" s="56">
        <f t="shared" ref="R17" si="23">Q17*121.0167464</f>
        <v>0</v>
      </c>
      <c r="S17" s="56">
        <f t="shared" ref="S17" si="24">R17*8.99870078651798</f>
        <v>0</v>
      </c>
      <c r="T17" s="56">
        <f t="shared" ref="T17" si="25">S17/10.764</f>
        <v>0</v>
      </c>
      <c r="U17" s="56">
        <v>0</v>
      </c>
      <c r="V17" s="56" t="e">
        <f t="shared" ref="V17" si="26">ROUND((U17/T17),0)</f>
        <v>#DIV/0!</v>
      </c>
      <c r="W17" s="57">
        <v>0</v>
      </c>
      <c r="X17" s="56">
        <v>0</v>
      </c>
      <c r="Y17" s="56">
        <f t="shared" ref="Y17" si="27">W17*X17</f>
        <v>0</v>
      </c>
      <c r="Z17" s="56">
        <f t="shared" ref="Z17" si="28">U17-Y17</f>
        <v>0</v>
      </c>
      <c r="AA17" s="56" t="e">
        <f t="shared" ref="AA17" si="29">Z17/T17</f>
        <v>#DIV/0!</v>
      </c>
      <c r="AB17" s="56" t="e">
        <f t="shared" ref="AB17" si="30">Z17/R17</f>
        <v>#DIV/0!</v>
      </c>
    </row>
    <row r="18" spans="1:29" s="56" customFormat="1" x14ac:dyDescent="0.25">
      <c r="A18" s="57">
        <v>17</v>
      </c>
      <c r="B18" s="58">
        <f t="shared" ref="B18:B21" si="31">N18</f>
        <v>0</v>
      </c>
      <c r="C18" s="57">
        <f t="shared" ref="C18:C21" si="32">T18</f>
        <v>0</v>
      </c>
      <c r="D18" s="57">
        <f t="shared" ref="D18:D21" si="33">U18</f>
        <v>0</v>
      </c>
      <c r="E18" s="57" t="e">
        <f t="shared" ref="E18:E21" si="34">V18</f>
        <v>#DIV/0!</v>
      </c>
      <c r="F18" s="57" t="e">
        <f t="shared" ref="F18:F21" si="35">ROUND((E18/10.764),0)</f>
        <v>#DIV/0!</v>
      </c>
      <c r="G18" s="58">
        <f t="shared" ref="G18:G21" si="36">W18</f>
        <v>0</v>
      </c>
      <c r="H18" s="58">
        <f t="shared" ref="H18:H21" si="37">X18</f>
        <v>0</v>
      </c>
      <c r="I18" s="58">
        <f t="shared" ref="I18:I21" si="38">Y18</f>
        <v>0</v>
      </c>
      <c r="J18" s="58">
        <f t="shared" ref="J18:J21" si="39">Z18</f>
        <v>0</v>
      </c>
      <c r="K18" s="58" t="e">
        <f t="shared" ref="K18:K21" si="40">AA18</f>
        <v>#DIV/0!</v>
      </c>
      <c r="L18" s="58" t="e">
        <f t="shared" ref="L18:L21" si="41">AB18</f>
        <v>#DIV/0!</v>
      </c>
      <c r="O18" s="56">
        <v>0</v>
      </c>
      <c r="P18" s="56">
        <f t="shared" ref="P18:P21" si="42">O18*2.47107605477881</f>
        <v>0</v>
      </c>
      <c r="Q18" s="56">
        <f t="shared" ref="Q18:Q21" si="43">P18*40.0001976870614</f>
        <v>0</v>
      </c>
      <c r="R18" s="56">
        <f t="shared" ref="R18:R21" si="44">Q18*121.0167464</f>
        <v>0</v>
      </c>
      <c r="S18" s="56">
        <f t="shared" ref="S18:S21" si="45">R18*8.99870078651798</f>
        <v>0</v>
      </c>
      <c r="T18" s="56">
        <f t="shared" ref="T18:T21" si="46">S18/10.764</f>
        <v>0</v>
      </c>
      <c r="U18" s="56">
        <v>0</v>
      </c>
      <c r="V18" s="56" t="e">
        <f t="shared" ref="V18:V21" si="47">ROUND((U18/T18),0)</f>
        <v>#DIV/0!</v>
      </c>
      <c r="W18" s="57">
        <v>0</v>
      </c>
      <c r="X18" s="56">
        <v>0</v>
      </c>
      <c r="Y18" s="56">
        <f t="shared" ref="Y18:Y21" si="48">W18*X18</f>
        <v>0</v>
      </c>
      <c r="Z18" s="56">
        <f t="shared" ref="Z18:Z21" si="49">U18-Y18</f>
        <v>0</v>
      </c>
      <c r="AA18" s="56" t="e">
        <f t="shared" ref="AA18:AA21" si="50">Z18/T18</f>
        <v>#DIV/0!</v>
      </c>
      <c r="AB18" s="56" t="e">
        <f t="shared" ref="AB18:AB21" si="51">Z18/R18</f>
        <v>#DIV/0!</v>
      </c>
    </row>
    <row r="19" spans="1:29" s="56" customFormat="1" x14ac:dyDescent="0.25">
      <c r="A19" s="57">
        <v>18</v>
      </c>
      <c r="B19" s="58">
        <f t="shared" si="31"/>
        <v>0</v>
      </c>
      <c r="C19" s="57">
        <f t="shared" si="32"/>
        <v>0</v>
      </c>
      <c r="D19" s="57">
        <f t="shared" si="33"/>
        <v>0</v>
      </c>
      <c r="E19" s="57" t="e">
        <f t="shared" si="34"/>
        <v>#DIV/0!</v>
      </c>
      <c r="F19" s="57" t="e">
        <f t="shared" si="35"/>
        <v>#DIV/0!</v>
      </c>
      <c r="G19" s="58">
        <f t="shared" si="36"/>
        <v>0</v>
      </c>
      <c r="H19" s="58">
        <f t="shared" si="37"/>
        <v>0</v>
      </c>
      <c r="I19" s="58">
        <f t="shared" si="38"/>
        <v>0</v>
      </c>
      <c r="J19" s="58">
        <f t="shared" si="39"/>
        <v>0</v>
      </c>
      <c r="K19" s="58" t="e">
        <f t="shared" si="40"/>
        <v>#DIV/0!</v>
      </c>
      <c r="L19" s="58" t="e">
        <f t="shared" si="41"/>
        <v>#DIV/0!</v>
      </c>
      <c r="O19" s="56">
        <v>0</v>
      </c>
      <c r="P19" s="56">
        <f t="shared" si="42"/>
        <v>0</v>
      </c>
      <c r="Q19" s="56">
        <f t="shared" si="43"/>
        <v>0</v>
      </c>
      <c r="R19" s="56">
        <f t="shared" si="44"/>
        <v>0</v>
      </c>
      <c r="S19" s="56">
        <f t="shared" si="45"/>
        <v>0</v>
      </c>
      <c r="T19" s="56">
        <f t="shared" si="46"/>
        <v>0</v>
      </c>
      <c r="U19" s="56">
        <v>0</v>
      </c>
      <c r="V19" s="56" t="e">
        <f t="shared" si="47"/>
        <v>#DIV/0!</v>
      </c>
      <c r="W19" s="57">
        <v>0</v>
      </c>
      <c r="X19" s="56">
        <v>0</v>
      </c>
      <c r="Y19" s="56">
        <f t="shared" si="48"/>
        <v>0</v>
      </c>
      <c r="Z19" s="56">
        <f t="shared" si="49"/>
        <v>0</v>
      </c>
      <c r="AA19" s="56" t="e">
        <f t="shared" si="50"/>
        <v>#DIV/0!</v>
      </c>
      <c r="AB19" s="56" t="e">
        <f t="shared" si="51"/>
        <v>#DIV/0!</v>
      </c>
      <c r="AC19" s="56">
        <f>60.03*150000</f>
        <v>9004500</v>
      </c>
    </row>
    <row r="20" spans="1:29" s="56" customFormat="1" x14ac:dyDescent="0.25">
      <c r="A20" s="57">
        <v>19</v>
      </c>
      <c r="B20" s="58">
        <f t="shared" si="31"/>
        <v>0</v>
      </c>
      <c r="C20" s="57">
        <f t="shared" si="32"/>
        <v>0</v>
      </c>
      <c r="D20" s="57">
        <f t="shared" si="33"/>
        <v>0</v>
      </c>
      <c r="E20" s="57" t="e">
        <f t="shared" si="34"/>
        <v>#DIV/0!</v>
      </c>
      <c r="F20" s="57" t="e">
        <f t="shared" si="35"/>
        <v>#DIV/0!</v>
      </c>
      <c r="G20" s="58">
        <f t="shared" si="36"/>
        <v>0</v>
      </c>
      <c r="H20" s="58">
        <f t="shared" si="37"/>
        <v>0</v>
      </c>
      <c r="I20" s="58">
        <f t="shared" si="38"/>
        <v>0</v>
      </c>
      <c r="J20" s="58">
        <f t="shared" si="39"/>
        <v>0</v>
      </c>
      <c r="K20" s="58" t="e">
        <f t="shared" si="40"/>
        <v>#DIV/0!</v>
      </c>
      <c r="L20" s="58" t="e">
        <f t="shared" si="41"/>
        <v>#DIV/0!</v>
      </c>
      <c r="O20" s="56">
        <v>0</v>
      </c>
      <c r="P20" s="56">
        <f t="shared" si="42"/>
        <v>0</v>
      </c>
      <c r="Q20" s="56">
        <f t="shared" si="43"/>
        <v>0</v>
      </c>
      <c r="R20" s="56">
        <f t="shared" si="44"/>
        <v>0</v>
      </c>
      <c r="S20" s="56">
        <f t="shared" si="45"/>
        <v>0</v>
      </c>
      <c r="T20" s="56">
        <f t="shared" si="46"/>
        <v>0</v>
      </c>
      <c r="U20" s="56">
        <v>0</v>
      </c>
      <c r="V20" s="56" t="e">
        <f t="shared" si="47"/>
        <v>#DIV/0!</v>
      </c>
      <c r="W20" s="57">
        <v>0</v>
      </c>
      <c r="X20" s="56">
        <v>0</v>
      </c>
      <c r="Y20" s="56">
        <f t="shared" si="48"/>
        <v>0</v>
      </c>
      <c r="Z20" s="56">
        <f t="shared" si="49"/>
        <v>0</v>
      </c>
      <c r="AA20" s="56" t="e">
        <f t="shared" si="50"/>
        <v>#DIV/0!</v>
      </c>
      <c r="AB20" s="56" t="e">
        <f t="shared" si="51"/>
        <v>#DIV/0!</v>
      </c>
      <c r="AC20" s="56">
        <f>106.098*30000</f>
        <v>3182940</v>
      </c>
    </row>
    <row r="21" spans="1:29" s="56" customFormat="1" x14ac:dyDescent="0.25">
      <c r="A21" s="57">
        <v>20</v>
      </c>
      <c r="B21" s="58">
        <f t="shared" si="31"/>
        <v>0</v>
      </c>
      <c r="C21" s="57">
        <f t="shared" si="32"/>
        <v>0</v>
      </c>
      <c r="D21" s="57">
        <f t="shared" si="33"/>
        <v>0</v>
      </c>
      <c r="E21" s="57" t="e">
        <f t="shared" si="34"/>
        <v>#DIV/0!</v>
      </c>
      <c r="F21" s="57" t="e">
        <f t="shared" si="35"/>
        <v>#DIV/0!</v>
      </c>
      <c r="G21" s="58">
        <f t="shared" si="36"/>
        <v>0</v>
      </c>
      <c r="H21" s="58">
        <f t="shared" si="37"/>
        <v>0</v>
      </c>
      <c r="I21" s="58">
        <f t="shared" si="38"/>
        <v>0</v>
      </c>
      <c r="J21" s="58">
        <f t="shared" si="39"/>
        <v>0</v>
      </c>
      <c r="K21" s="58" t="e">
        <f t="shared" si="40"/>
        <v>#DIV/0!</v>
      </c>
      <c r="L21" s="58" t="e">
        <f t="shared" si="41"/>
        <v>#DIV/0!</v>
      </c>
      <c r="O21" s="56">
        <v>0</v>
      </c>
      <c r="P21" s="56">
        <f t="shared" si="42"/>
        <v>0</v>
      </c>
      <c r="Q21" s="56">
        <f t="shared" si="43"/>
        <v>0</v>
      </c>
      <c r="R21" s="56">
        <f t="shared" si="44"/>
        <v>0</v>
      </c>
      <c r="S21" s="56">
        <f t="shared" si="45"/>
        <v>0</v>
      </c>
      <c r="T21" s="56">
        <f t="shared" si="46"/>
        <v>0</v>
      </c>
      <c r="U21" s="56">
        <v>0</v>
      </c>
      <c r="V21" s="56" t="e">
        <f t="shared" si="47"/>
        <v>#DIV/0!</v>
      </c>
      <c r="W21" s="57">
        <v>0</v>
      </c>
      <c r="X21" s="56">
        <v>0</v>
      </c>
      <c r="Y21" s="56">
        <f t="shared" si="48"/>
        <v>0</v>
      </c>
      <c r="Z21" s="56">
        <f t="shared" si="49"/>
        <v>0</v>
      </c>
      <c r="AA21" s="56" t="e">
        <f t="shared" si="50"/>
        <v>#DIV/0!</v>
      </c>
      <c r="AB21" s="56" t="e">
        <f t="shared" si="51"/>
        <v>#DIV/0!</v>
      </c>
      <c r="AC21" s="56">
        <f>AC19+AC20</f>
        <v>12187440</v>
      </c>
    </row>
    <row r="23" spans="1:29" x14ac:dyDescent="0.25">
      <c r="K23" s="55">
        <f>58.49*10.764</f>
        <v>629.58636000000001</v>
      </c>
      <c r="X23" s="55">
        <f>30000/10.764</f>
        <v>2787.0680044593091</v>
      </c>
    </row>
    <row r="24" spans="1:29" x14ac:dyDescent="0.25">
      <c r="K24" s="55">
        <v>18000</v>
      </c>
    </row>
    <row r="25" spans="1:29" x14ac:dyDescent="0.25">
      <c r="K25" s="55">
        <f>K23*K24</f>
        <v>11332554.48</v>
      </c>
    </row>
    <row r="27" spans="1:29" x14ac:dyDescent="0.25">
      <c r="K27" s="55" t="s">
        <v>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2024-02-20T12:07:52Z</dcterms:modified>
</cp:coreProperties>
</file>