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Seya Industries Ltd. – Boisar (W)\Plot No. D - 16\"/>
    </mc:Choice>
  </mc:AlternateContent>
  <xr:revisionPtr revIDLastSave="0" documentId="13_ncr:1_{B8F38091-D7F1-494C-BBD4-19E3AE70D9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" sheetId="2" r:id="rId1"/>
    <sheet name="Sheet1" sheetId="3" r:id="rId2"/>
    <sheet name="Sheet2" sheetId="4" r:id="rId3"/>
    <sheet name="Sheet3" sheetId="5" r:id="rId4"/>
    <sheet name="Sheet4" sheetId="6" r:id="rId5"/>
    <sheet name="Sheet5" sheetId="7" r:id="rId6"/>
    <sheet name="Sheet6" sheetId="8" r:id="rId7"/>
    <sheet name="Sheet7" sheetId="9" r:id="rId8"/>
    <sheet name="Sheet8" sheetId="10" r:id="rId9"/>
    <sheet name="Sheet9" sheetId="11" r:id="rId10"/>
    <sheet name="Sheet10" sheetId="12" r:id="rId11"/>
    <sheet name="Sheet11" sheetId="13" r:id="rId12"/>
    <sheet name="Sheet12" sheetId="14" r:id="rId13"/>
    <sheet name="Sheet13" sheetId="15" r:id="rId14"/>
  </sheets>
  <calcPr calcId="191029"/>
</workbook>
</file>

<file path=xl/calcChain.xml><?xml version="1.0" encoding="utf-8"?>
<calcChain xmlns="http://schemas.openxmlformats.org/spreadsheetml/2006/main">
  <c r="L47" i="2" l="1"/>
  <c r="K47" i="2"/>
  <c r="J47" i="2"/>
  <c r="X76" i="2"/>
  <c r="W76" i="2"/>
  <c r="V76" i="2"/>
  <c r="U76" i="2"/>
  <c r="T76" i="2"/>
  <c r="M95" i="2"/>
  <c r="L95" i="2"/>
  <c r="O95" i="2" s="1"/>
  <c r="O94" i="2"/>
  <c r="M94" i="2"/>
  <c r="L94" i="2"/>
  <c r="O93" i="2"/>
  <c r="O89" i="2"/>
  <c r="M89" i="2"/>
  <c r="L89" i="2"/>
  <c r="M88" i="2"/>
  <c r="L88" i="2"/>
  <c r="O88" i="2" s="1"/>
  <c r="O87" i="2"/>
  <c r="D50" i="2"/>
  <c r="D49" i="2"/>
  <c r="D43" i="2"/>
  <c r="R29" i="2"/>
  <c r="R10" i="2"/>
  <c r="R8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G77" i="2"/>
  <c r="J77" i="2"/>
  <c r="I77" i="2"/>
  <c r="K77" i="2"/>
  <c r="O9" i="2" l="1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H9" i="2"/>
  <c r="J9" i="2" s="1"/>
  <c r="K9" i="2" s="1"/>
  <c r="L9" i="2" s="1"/>
  <c r="N9" i="2" s="1"/>
  <c r="H10" i="2"/>
  <c r="J10" i="2" s="1"/>
  <c r="K10" i="2" s="1"/>
  <c r="L10" i="2" s="1"/>
  <c r="N10" i="2" s="1"/>
  <c r="M10" i="2" s="1"/>
  <c r="H11" i="2"/>
  <c r="J11" i="2" s="1"/>
  <c r="K11" i="2" s="1"/>
  <c r="L11" i="2" s="1"/>
  <c r="N11" i="2" s="1"/>
  <c r="H12" i="2"/>
  <c r="J12" i="2" s="1"/>
  <c r="K12" i="2" s="1"/>
  <c r="L12" i="2" s="1"/>
  <c r="N12" i="2" s="1"/>
  <c r="M12" i="2" s="1"/>
  <c r="H13" i="2"/>
  <c r="I13" i="2" s="1"/>
  <c r="H14" i="2"/>
  <c r="I14" i="2" s="1"/>
  <c r="H15" i="2"/>
  <c r="J15" i="2" s="1"/>
  <c r="K15" i="2" s="1"/>
  <c r="L15" i="2" s="1"/>
  <c r="N15" i="2" s="1"/>
  <c r="H16" i="2"/>
  <c r="J16" i="2" s="1"/>
  <c r="K16" i="2" s="1"/>
  <c r="L16" i="2" s="1"/>
  <c r="N16" i="2" s="1"/>
  <c r="H17" i="2"/>
  <c r="J17" i="2" s="1"/>
  <c r="K17" i="2" s="1"/>
  <c r="L17" i="2" s="1"/>
  <c r="N17" i="2" s="1"/>
  <c r="H18" i="2"/>
  <c r="J18" i="2" s="1"/>
  <c r="K18" i="2" s="1"/>
  <c r="L18" i="2" s="1"/>
  <c r="N18" i="2" s="1"/>
  <c r="M18" i="2" s="1"/>
  <c r="H19" i="2"/>
  <c r="J19" i="2" s="1"/>
  <c r="K19" i="2" s="1"/>
  <c r="L19" i="2" s="1"/>
  <c r="N19" i="2" s="1"/>
  <c r="M19" i="2" s="1"/>
  <c r="H20" i="2"/>
  <c r="J20" i="2" s="1"/>
  <c r="K20" i="2" s="1"/>
  <c r="L20" i="2" s="1"/>
  <c r="N20" i="2" s="1"/>
  <c r="M20" i="2" s="1"/>
  <c r="H21" i="2"/>
  <c r="I21" i="2" s="1"/>
  <c r="H22" i="2"/>
  <c r="I22" i="2" s="1"/>
  <c r="H23" i="2"/>
  <c r="J23" i="2" s="1"/>
  <c r="K23" i="2" s="1"/>
  <c r="L23" i="2" s="1"/>
  <c r="N23" i="2" s="1"/>
  <c r="H24" i="2"/>
  <c r="J24" i="2" s="1"/>
  <c r="K24" i="2" s="1"/>
  <c r="L24" i="2" s="1"/>
  <c r="N24" i="2" s="1"/>
  <c r="H25" i="2"/>
  <c r="J25" i="2" s="1"/>
  <c r="K25" i="2" s="1"/>
  <c r="L25" i="2" s="1"/>
  <c r="N25" i="2" s="1"/>
  <c r="H26" i="2"/>
  <c r="J26" i="2" s="1"/>
  <c r="K26" i="2" s="1"/>
  <c r="L26" i="2" s="1"/>
  <c r="N26" i="2" s="1"/>
  <c r="M26" i="2" s="1"/>
  <c r="H27" i="2"/>
  <c r="J27" i="2" s="1"/>
  <c r="K27" i="2" s="1"/>
  <c r="L27" i="2" s="1"/>
  <c r="N27" i="2" s="1"/>
  <c r="H28" i="2"/>
  <c r="J28" i="2" s="1"/>
  <c r="K28" i="2" s="1"/>
  <c r="L28" i="2" s="1"/>
  <c r="N28" i="2" s="1"/>
  <c r="M28" i="2" s="1"/>
  <c r="M27" i="2" l="1"/>
  <c r="M11" i="2"/>
  <c r="I26" i="2"/>
  <c r="I18" i="2"/>
  <c r="I10" i="2"/>
  <c r="J22" i="2"/>
  <c r="K22" i="2" s="1"/>
  <c r="L22" i="2" s="1"/>
  <c r="N22" i="2" s="1"/>
  <c r="M22" i="2" s="1"/>
  <c r="J14" i="2"/>
  <c r="K14" i="2" s="1"/>
  <c r="L14" i="2" s="1"/>
  <c r="N14" i="2" s="1"/>
  <c r="M14" i="2" s="1"/>
  <c r="I25" i="2"/>
  <c r="I17" i="2"/>
  <c r="I9" i="2"/>
  <c r="J21" i="2"/>
  <c r="K21" i="2" s="1"/>
  <c r="L21" i="2" s="1"/>
  <c r="N21" i="2" s="1"/>
  <c r="M21" i="2" s="1"/>
  <c r="J13" i="2"/>
  <c r="K13" i="2" s="1"/>
  <c r="L13" i="2" s="1"/>
  <c r="N13" i="2" s="1"/>
  <c r="M23" i="2"/>
  <c r="M15" i="2"/>
  <c r="I28" i="2"/>
  <c r="I24" i="2"/>
  <c r="I20" i="2"/>
  <c r="I16" i="2"/>
  <c r="I12" i="2"/>
  <c r="I27" i="2"/>
  <c r="I23" i="2"/>
  <c r="I19" i="2"/>
  <c r="I15" i="2"/>
  <c r="I11" i="2"/>
  <c r="M25" i="2"/>
  <c r="M17" i="2"/>
  <c r="M13" i="2"/>
  <c r="M9" i="2"/>
  <c r="M24" i="2"/>
  <c r="M16" i="2"/>
  <c r="O8" i="2"/>
  <c r="H8" i="2"/>
  <c r="I8" i="2" s="1"/>
  <c r="C29" i="2"/>
  <c r="F2" i="2"/>
  <c r="I3" i="2"/>
  <c r="N29" i="2" l="1"/>
  <c r="J8" i="2"/>
  <c r="K8" i="2" s="1"/>
  <c r="L8" i="2" s="1"/>
  <c r="N8" i="2" s="1"/>
  <c r="M8" i="2" s="1"/>
  <c r="C39" i="2" l="1"/>
  <c r="C45" i="2" s="1"/>
  <c r="C34" i="2"/>
  <c r="C44" i="2" s="1"/>
  <c r="C4" i="2"/>
  <c r="C42" i="2" s="1"/>
  <c r="D42" i="2" s="1"/>
  <c r="D46" i="2" s="1"/>
  <c r="J2" i="2"/>
  <c r="L2" i="2" s="1"/>
  <c r="D48" i="2" l="1"/>
  <c r="D47" i="2"/>
  <c r="O29" i="2"/>
  <c r="M29" i="2" l="1"/>
  <c r="C49" i="2"/>
  <c r="C50" i="2" l="1"/>
  <c r="L4" i="2"/>
  <c r="C46" i="2"/>
  <c r="C48" i="2" l="1"/>
  <c r="C47" i="2"/>
  <c r="P2" i="2"/>
  <c r="R2" i="2" s="1"/>
  <c r="P3" i="2"/>
  <c r="P4" i="2"/>
  <c r="R4" i="2" s="1"/>
  <c r="R3" i="2" l="1"/>
</calcChain>
</file>

<file path=xl/sharedStrings.xml><?xml version="1.0" encoding="utf-8"?>
<sst xmlns="http://schemas.openxmlformats.org/spreadsheetml/2006/main" count="135" uniqueCount="85">
  <si>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</si>
  <si>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</si>
  <si>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</si>
  <si>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</si>
  <si>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</si>
  <si>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</si>
  <si>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</si>
  <si>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</si>
  <si>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</si>
  <si>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</si>
  <si>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</si>
  <si>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</si>
  <si>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</si>
  <si>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</si>
  <si>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</si>
  <si>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</si>
  <si>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</si>
  <si>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</si>
  <si>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</si>
  <si>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 xml:space="preserve">Sr. No. 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</si>
  <si>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</si>
  <si>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</si>
  <si>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</si>
  <si>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</si>
  <si>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</si>
  <si>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</si>
  <si>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</si>
  <si>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</si>
  <si>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</si>
  <si>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</si>
  <si>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</si>
  <si>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</si>
  <si>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</si>
  <si>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</si>
  <si>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Sq. M. / 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</si>
  <si>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</si>
  <si>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</si>
  <si>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</si>
  <si>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</si>
  <si>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t>Net Insurable Value on Depreciated Replacement Value</t>
  </si>
  <si>
    <t xml:space="preserve">Insurable Value </t>
  </si>
  <si>
    <t>Security Cabin &amp; Changing Room</t>
  </si>
  <si>
    <t>MCB &amp; DCB</t>
  </si>
  <si>
    <t>Admin Building</t>
  </si>
  <si>
    <t>Power House</t>
  </si>
  <si>
    <t>DMS Plant</t>
  </si>
  <si>
    <t>Liquid S 03</t>
  </si>
  <si>
    <t>Liquid S 02</t>
  </si>
  <si>
    <t>Blower Room</t>
  </si>
  <si>
    <t>CSA Plant</t>
  </si>
  <si>
    <t>MCC Room</t>
  </si>
  <si>
    <t>DM Plant</t>
  </si>
  <si>
    <t>Sulfur Yard</t>
  </si>
  <si>
    <t>PNCB</t>
  </si>
  <si>
    <t>Utility</t>
  </si>
  <si>
    <t>Red B</t>
  </si>
  <si>
    <t>Red Godown</t>
  </si>
  <si>
    <t>Chlorine Toner</t>
  </si>
  <si>
    <t>Building - 1</t>
  </si>
  <si>
    <t>Building – 11</t>
  </si>
  <si>
    <t>ETP</t>
  </si>
  <si>
    <t>After Completion</t>
  </si>
  <si>
    <t>Present</t>
  </si>
  <si>
    <t>Plot No. T - 13 &amp; T -14</t>
  </si>
  <si>
    <t>Land</t>
  </si>
  <si>
    <t>Structure</t>
  </si>
  <si>
    <t>Plant &amp; Machinery</t>
  </si>
  <si>
    <t xml:space="preserve">Total </t>
  </si>
  <si>
    <t>Fair Market Value</t>
  </si>
  <si>
    <t>Plot No. D - 16</t>
  </si>
  <si>
    <t>No.</t>
  </si>
  <si>
    <t>FSI Area (A)</t>
  </si>
  <si>
    <t>Double Height FSI Area (B)</t>
  </si>
  <si>
    <t>Non FSI Area -Stair (C)</t>
  </si>
  <si>
    <t>Non FSI Area - Lift (D)</t>
  </si>
  <si>
    <t xml:space="preserve">Area in </t>
  </si>
  <si>
    <t>Sq. M.</t>
  </si>
  <si>
    <t>(A+C+D)</t>
  </si>
  <si>
    <t>0-1</t>
  </si>
  <si>
    <t>Total</t>
  </si>
  <si>
    <r>
      <t>Fair Market Value In (</t>
    </r>
    <r>
      <rPr>
        <sz val="11"/>
        <color rgb="FF000000"/>
        <rFont val="Arial"/>
        <family val="2"/>
      </rPr>
      <t>₹</t>
    </r>
    <r>
      <rPr>
        <b/>
        <sz val="11"/>
        <color rgb="FF000000"/>
        <rFont val="Arial Narrow"/>
        <family val="2"/>
      </rPr>
      <t>)</t>
    </r>
  </si>
  <si>
    <r>
      <t>Realizable Value In (</t>
    </r>
    <r>
      <rPr>
        <sz val="11"/>
        <color rgb="FF000000"/>
        <rFont val="Arial"/>
        <family val="2"/>
      </rPr>
      <t>₹</t>
    </r>
    <r>
      <rPr>
        <b/>
        <sz val="11"/>
        <color rgb="FF000000"/>
        <rFont val="Arial Narrow"/>
        <family val="2"/>
      </rPr>
      <t>)</t>
    </r>
  </si>
  <si>
    <r>
      <t>Distress Sale Value In (</t>
    </r>
    <r>
      <rPr>
        <sz val="11"/>
        <color rgb="FF000000"/>
        <rFont val="Arial"/>
        <family val="2"/>
      </rPr>
      <t>₹</t>
    </r>
    <r>
      <rPr>
        <b/>
        <sz val="11"/>
        <color rgb="FF000000"/>
        <rFont val="Rupee Foradian"/>
        <family val="2"/>
      </rPr>
      <t>)</t>
    </r>
  </si>
  <si>
    <t>Land &amp; Building</t>
  </si>
  <si>
    <t>Miscellaneous Fixed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</si>
</sst>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 Narrow"/>
      <family val="2"/>
    </font>
    <font>
      <sz val="11"/>
      <color rgb="FF000000"/>
      <name val="Arial"/>
      <family val="2"/>
    </font>
    <font>
      <b/>
      <sz val="11"/>
      <color rgb="FF000000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CBA98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BA987"/>
      </left>
      <right style="medium">
        <color rgb="FFFFFFFF"/>
      </right>
      <top style="medium">
        <color rgb="FFCBA987"/>
      </top>
      <bottom style="medium">
        <color rgb="FFCBA987"/>
      </bottom>
      <diagonal/>
    </border>
    <border>
      <left/>
      <right style="medium">
        <color rgb="FFFFFFFF"/>
      </right>
      <top style="medium">
        <color rgb="FFCBA987"/>
      </top>
      <bottom style="medium">
        <color rgb="FFCBA987"/>
      </bottom>
      <diagonal/>
    </border>
    <border>
      <left style="medium">
        <color rgb="FFCBA987"/>
      </left>
      <right style="medium">
        <color rgb="FFCBA987"/>
      </right>
      <top/>
      <bottom style="medium">
        <color rgb="FFCBA987"/>
      </bottom>
      <diagonal/>
    </border>
    <border>
      <left/>
      <right style="medium">
        <color rgb="FFCBA987"/>
      </right>
      <top/>
      <bottom style="medium">
        <color rgb="FFCBA987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9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9" fillId="0" borderId="0" xfId="0" applyNumberFormat="1" applyFont="1"/>
    <xf numFmtId="0" fontId="9" fillId="0" borderId="0" xfId="0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1" xfId="0" applyFont="1" applyBorder="1"/>
    <xf numFmtId="4" fontId="8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8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8" fillId="0" borderId="1" xfId="0" applyNumberFormat="1" applyFont="1" applyBorder="1"/>
    <xf numFmtId="0" fontId="7" fillId="0" borderId="0" xfId="0" applyFont="1"/>
    <xf numFmtId="3" fontId="7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7" fillId="0" borderId="0" xfId="0" applyFont="1" applyAlignment="1">
      <alignment vertical="top" wrapText="1"/>
    </xf>
    <xf numFmtId="3" fontId="3" fillId="0" borderId="0" xfId="0" applyNumberFormat="1" applyFont="1" applyAlignment="1">
      <alignment vertical="top"/>
    </xf>
    <xf numFmtId="3" fontId="9" fillId="0" borderId="0" xfId="0" applyNumberFormat="1" applyFont="1" applyAlignment="1">
      <alignment vertical="top"/>
    </xf>
    <xf numFmtId="0" fontId="13" fillId="0" borderId="0" xfId="0" applyFont="1"/>
    <xf numFmtId="0" fontId="4" fillId="0" borderId="1" xfId="0" applyFont="1" applyBorder="1" applyAlignment="1">
      <alignment horizontal="left" vertical="top" wrapText="1" shrinkToFit="1"/>
    </xf>
    <xf numFmtId="0" fontId="5" fillId="0" borderId="1" xfId="0" applyFont="1" applyBorder="1" applyAlignment="1">
      <alignment horizontal="left" vertical="top" wrapText="1" shrinkToFit="1"/>
    </xf>
    <xf numFmtId="0" fontId="6" fillId="0" borderId="1" xfId="0" applyFont="1" applyBorder="1" applyAlignment="1">
      <alignment horizontal="left" vertical="top" wrapText="1" shrinkToFit="1"/>
    </xf>
    <xf numFmtId="0" fontId="5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43" fontId="10" fillId="0" borderId="1" xfId="1" applyFont="1" applyBorder="1" applyAlignment="1">
      <alignment horizontal="left" vertical="top" wrapText="1"/>
    </xf>
    <xf numFmtId="43" fontId="7" fillId="0" borderId="1" xfId="1" applyFont="1" applyBorder="1" applyAlignment="1">
      <alignment horizontal="left" vertical="top"/>
    </xf>
    <xf numFmtId="43" fontId="3" fillId="0" borderId="1" xfId="1" applyFont="1" applyBorder="1" applyAlignment="1">
      <alignment horizontal="left" vertical="top"/>
    </xf>
    <xf numFmtId="43" fontId="1" fillId="0" borderId="1" xfId="1" applyFont="1" applyBorder="1" applyAlignment="1">
      <alignment horizontal="left" vertical="top"/>
    </xf>
    <xf numFmtId="43" fontId="4" fillId="0" borderId="1" xfId="1" applyFont="1" applyBorder="1" applyAlignment="1">
      <alignment horizontal="left" vertical="top" wrapText="1" shrinkToFit="1"/>
    </xf>
    <xf numFmtId="164" fontId="12" fillId="0" borderId="1" xfId="1" applyNumberFormat="1" applyFont="1" applyBorder="1" applyAlignment="1">
      <alignment horizontal="right" vertical="top" wrapText="1" shrinkToFit="1"/>
    </xf>
    <xf numFmtId="164" fontId="8" fillId="0" borderId="1" xfId="1" applyNumberFormat="1" applyFont="1" applyBorder="1" applyAlignment="1">
      <alignment horizontal="right" vertical="top" wrapText="1"/>
    </xf>
    <xf numFmtId="164" fontId="10" fillId="0" borderId="1" xfId="1" applyNumberFormat="1" applyFont="1" applyBorder="1" applyAlignment="1">
      <alignment horizontal="right" vertical="top" wrapText="1"/>
    </xf>
    <xf numFmtId="164" fontId="3" fillId="0" borderId="1" xfId="1" applyNumberFormat="1" applyFont="1" applyBorder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 wrapText="1"/>
    </xf>
    <xf numFmtId="43" fontId="3" fillId="0" borderId="0" xfId="0" applyNumberFormat="1" applyFont="1"/>
    <xf numFmtId="43" fontId="1" fillId="0" borderId="0" xfId="0" applyNumberFormat="1" applyFont="1" applyAlignment="1">
      <alignment vertical="top"/>
    </xf>
    <xf numFmtId="43" fontId="1" fillId="0" borderId="0" xfId="0" applyNumberFormat="1" applyFont="1"/>
    <xf numFmtId="0" fontId="16" fillId="0" borderId="1" xfId="0" applyFont="1" applyBorder="1" applyAlignment="1">
      <alignment horizontal="center" vertical="top"/>
    </xf>
    <xf numFmtId="0" fontId="0" fillId="0" borderId="1" xfId="0" applyBorder="1"/>
    <xf numFmtId="164" fontId="0" fillId="0" borderId="1" xfId="1" applyNumberFormat="1" applyFont="1" applyBorder="1"/>
    <xf numFmtId="164" fontId="16" fillId="0" borderId="1" xfId="1" applyNumberFormat="1" applyFont="1" applyBorder="1"/>
    <xf numFmtId="0" fontId="0" fillId="0" borderId="1" xfId="0" applyBorder="1" applyAlignment="1">
      <alignment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right" vertical="center" wrapText="1"/>
    </xf>
    <xf numFmtId="16" fontId="10" fillId="0" borderId="8" xfId="0" applyNumberFormat="1" applyFont="1" applyBorder="1" applyAlignment="1">
      <alignment horizontal="center" vertical="center" wrapText="1"/>
    </xf>
    <xf numFmtId="4" fontId="10" fillId="0" borderId="11" xfId="0" applyNumberFormat="1" applyFont="1" applyBorder="1" applyAlignment="1">
      <alignment horizontal="right" vertical="center" wrapText="1"/>
    </xf>
    <xf numFmtId="0" fontId="10" fillId="0" borderId="11" xfId="0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right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164" fontId="3" fillId="0" borderId="0" xfId="1" applyNumberFormat="1" applyFont="1" applyAlignment="1">
      <alignment vertical="top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vertical="center" wrapText="1"/>
    </xf>
    <xf numFmtId="0" fontId="7" fillId="0" borderId="15" xfId="0" applyFont="1" applyBorder="1" applyAlignment="1">
      <alignment horizontal="right" vertical="center" wrapText="1"/>
    </xf>
    <xf numFmtId="0" fontId="7" fillId="0" borderId="14" xfId="0" applyFont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459306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C1F6C-D112-AF42-A499-F0B0C4F7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9706" cy="7611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58519</xdr:colOff>
      <xdr:row>38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64D60-C2A7-E367-3875-EBEC61C1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2119" cy="72400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68046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C7023-1A28-EA85-6B93-F1969E5EE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21646" cy="9202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303B1-BF32-5B16-B8A8-B52D84CB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72304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5E177-880E-262A-B601-8FF2482E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C8740-CCE6-7F55-9B6C-E03D8A91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22</xdr:col>
      <xdr:colOff>573446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B8D7F6-AFBA-E3DA-80FA-179247D6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394654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909D-F96B-524A-C872-9D844FD5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FBF15-196E-2A16-0D0E-2BEE3E0E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E0D00-0866-50F4-7531-E8B3EEC7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11B2C-DA01-48A3-E00A-0A65B349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97050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9AC4E-2AE6-D5DE-88AF-23E5DF09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8650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144341</xdr:colOff>
      <xdr:row>49</xdr:row>
      <xdr:rowOff>87040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FE94F7-30BA-3ECC-F32F-3B5FFF32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07541" cy="9421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85"/>
  <sheetViews>
    <sheetView tabSelected="1" zoomScale="115" zoomScaleNormal="115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G45" sqref="G45"/>
    </sheetView>
  </sheetViews>
  <sheetFormatPr defaultRowHeight="16.5" x14ac:dyDescent="0.3"/>
  <cols>
    <col min="1" max="1" width="9.140625" style="33"/>
    <col min="2" max="2" width="35.140625" style="2" customWidth="1"/>
    <col min="3" max="3" width="15.85546875" style="1" bestFit="1" customWidth="1"/>
    <col min="4" max="4" width="15.4257812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5.42578125" style="1" bestFit="1" customWidth="1"/>
    <col min="13" max="13" width="13.28515625" style="5" bestFit="1" customWidth="1"/>
    <col min="14" max="14" width="17.7109375" style="5" bestFit="1" customWidth="1"/>
    <col min="15" max="15" width="15.42578125" style="5" bestFit="1" customWidth="1"/>
    <col min="16" max="16" width="13.7109375" style="1" bestFit="1" customWidth="1"/>
    <col min="17" max="17" width="9.140625" style="1"/>
    <col min="18" max="18" width="13.8554687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12</v>
      </c>
      <c r="E1" s="1" t="s">
        <v>32</v>
      </c>
      <c r="F1" s="5" t="s">
        <v>33</v>
      </c>
      <c r="H1" s="5" t="s">
        <v>31</v>
      </c>
      <c r="K1" s="5" t="s">
        <v>20</v>
      </c>
      <c r="O1" s="5" t="s">
        <v>26</v>
      </c>
      <c r="R1" s="5" t="s">
        <v>26</v>
      </c>
    </row>
    <row r="2" spans="1:19" x14ac:dyDescent="0.3">
      <c r="B2" s="20" t="s">
        <v>10</v>
      </c>
      <c r="C2" s="45">
        <v>156367</v>
      </c>
      <c r="D2" s="5" t="s">
        <v>34</v>
      </c>
      <c r="E2" s="4">
        <v>0</v>
      </c>
      <c r="F2" s="4">
        <f>MROUND(E2*10.764,1)</f>
        <v>0</v>
      </c>
      <c r="G2" s="22"/>
      <c r="H2" s="1" t="s">
        <v>32</v>
      </c>
      <c r="I2" s="41">
        <v>0</v>
      </c>
      <c r="J2" s="41">
        <f>C2</f>
        <v>156367</v>
      </c>
      <c r="K2" s="41">
        <v>3895</v>
      </c>
      <c r="L2" s="35">
        <f>J2*K2</f>
        <v>609049465</v>
      </c>
      <c r="O2" s="38" t="s">
        <v>28</v>
      </c>
      <c r="P2" s="39">
        <f>C46</f>
        <v>1968103000</v>
      </c>
      <c r="R2" s="17">
        <f>P2*0.025/12</f>
        <v>4100214.5833333335</v>
      </c>
      <c r="S2" s="15" t="s">
        <v>27</v>
      </c>
    </row>
    <row r="3" spans="1:19" x14ac:dyDescent="0.3">
      <c r="B3" s="21" t="s">
        <v>5</v>
      </c>
      <c r="C3" s="15">
        <v>9000</v>
      </c>
      <c r="D3" s="12"/>
      <c r="E3" s="23"/>
      <c r="F3" s="23"/>
      <c r="G3" s="12"/>
      <c r="H3" s="1" t="s">
        <v>33</v>
      </c>
      <c r="I3" s="41">
        <f>MROUND(I2/10.764,1)</f>
        <v>0</v>
      </c>
      <c r="J3" s="41"/>
      <c r="K3" s="35"/>
      <c r="L3" s="43">
        <v>560800000</v>
      </c>
      <c r="O3" s="38" t="s">
        <v>28</v>
      </c>
      <c r="P3" s="39">
        <f>C46</f>
        <v>1968103000</v>
      </c>
      <c r="Q3" s="5"/>
      <c r="R3" s="17">
        <f>P3*0.04/12</f>
        <v>6560343.333333333</v>
      </c>
      <c r="S3" s="40" t="s">
        <v>29</v>
      </c>
    </row>
    <row r="4" spans="1:19" x14ac:dyDescent="0.3">
      <c r="B4" s="28" t="s">
        <v>15</v>
      </c>
      <c r="C4" s="35">
        <f>ROUND((C2*C3),0)</f>
        <v>1407303000</v>
      </c>
      <c r="F4" s="19"/>
      <c r="G4" s="19"/>
      <c r="I4" s="35"/>
      <c r="J4" s="41"/>
      <c r="K4" s="35"/>
      <c r="L4" s="35">
        <f>SUM(L2:L3)</f>
        <v>1169849465</v>
      </c>
      <c r="O4" s="38" t="s">
        <v>28</v>
      </c>
      <c r="P4" s="39">
        <f>C46</f>
        <v>1968103000</v>
      </c>
      <c r="Q4" s="5"/>
      <c r="R4" s="17">
        <f>P4*0.033/12</f>
        <v>5412283.25</v>
      </c>
      <c r="S4" s="15" t="s">
        <v>30</v>
      </c>
    </row>
    <row r="5" spans="1:19" x14ac:dyDescent="0.3">
      <c r="B5" s="10" t="s">
        <v>13</v>
      </c>
    </row>
    <row r="6" spans="1:19" x14ac:dyDescent="0.3">
      <c r="B6" s="10"/>
    </row>
    <row r="7" spans="1:19" s="3" customFormat="1" ht="60" x14ac:dyDescent="0.2">
      <c r="A7" s="52" t="s">
        <v>19</v>
      </c>
      <c r="B7" s="46" t="s">
        <v>22</v>
      </c>
      <c r="C7" s="46" t="s">
        <v>25</v>
      </c>
      <c r="D7" s="46" t="s">
        <v>0</v>
      </c>
      <c r="E7" s="46" t="s">
        <v>1</v>
      </c>
      <c r="F7" s="46" t="s">
        <v>2</v>
      </c>
      <c r="G7" s="46" t="s">
        <v>35</v>
      </c>
      <c r="H7" s="47" t="s">
        <v>24</v>
      </c>
      <c r="I7" s="47" t="s">
        <v>23</v>
      </c>
      <c r="J7" s="48" t="s">
        <v>3</v>
      </c>
      <c r="K7" s="48" t="s">
        <v>4</v>
      </c>
      <c r="L7" s="47" t="s">
        <v>36</v>
      </c>
      <c r="M7" s="49" t="s">
        <v>21</v>
      </c>
      <c r="N7" s="49" t="s">
        <v>37</v>
      </c>
      <c r="O7" s="49" t="s">
        <v>38</v>
      </c>
    </row>
    <row r="8" spans="1:19" s="8" customFormat="1" x14ac:dyDescent="0.25">
      <c r="A8" s="54">
        <v>1</v>
      </c>
      <c r="B8" s="53" t="s">
        <v>41</v>
      </c>
      <c r="C8" s="55">
        <v>340.64</v>
      </c>
      <c r="D8" s="60">
        <v>2024</v>
      </c>
      <c r="E8" s="60">
        <v>2024</v>
      </c>
      <c r="F8" s="61">
        <v>50</v>
      </c>
      <c r="G8" s="62">
        <v>18000</v>
      </c>
      <c r="H8" s="63">
        <f t="shared" ref="H8:H28" si="0">E8-D8</f>
        <v>0</v>
      </c>
      <c r="I8" s="63">
        <f t="shared" ref="I8:I28" si="1">F8-H8</f>
        <v>50</v>
      </c>
      <c r="J8" s="57">
        <f t="shared" ref="J8:J28" si="2">IF(H8&gt;=5,90*H8/F8,0)</f>
        <v>0</v>
      </c>
      <c r="K8" s="57">
        <f t="shared" ref="K8:K28" si="3">G8/100*J8</f>
        <v>0</v>
      </c>
      <c r="L8" s="57">
        <f t="shared" ref="L8:L28" si="4">ROUND((G8-K8),0)</f>
        <v>18000</v>
      </c>
      <c r="M8" s="57">
        <f t="shared" ref="M8:M29" si="5">O8-N8</f>
        <v>0</v>
      </c>
      <c r="N8" s="57">
        <f t="shared" ref="N8:N28" si="6">ROUND((L8*C8),0)</f>
        <v>6131520</v>
      </c>
      <c r="O8" s="57">
        <f t="shared" ref="O8:O28" si="7">ROUND((C8*G8),0)</f>
        <v>6131520</v>
      </c>
      <c r="P8" s="8">
        <v>100</v>
      </c>
      <c r="Q8" s="8">
        <v>50</v>
      </c>
      <c r="R8" s="68">
        <f>O8/P8*Q8</f>
        <v>3065760</v>
      </c>
    </row>
    <row r="9" spans="1:19" s="8" customFormat="1" x14ac:dyDescent="0.25">
      <c r="A9" s="54">
        <v>2</v>
      </c>
      <c r="B9" s="53" t="s">
        <v>42</v>
      </c>
      <c r="C9" s="55">
        <v>6900.01</v>
      </c>
      <c r="D9" s="60">
        <v>2024</v>
      </c>
      <c r="E9" s="60">
        <v>2024</v>
      </c>
      <c r="F9" s="61">
        <v>50</v>
      </c>
      <c r="G9" s="62">
        <v>18000</v>
      </c>
      <c r="H9" s="63">
        <f t="shared" si="0"/>
        <v>0</v>
      </c>
      <c r="I9" s="63">
        <f t="shared" si="1"/>
        <v>50</v>
      </c>
      <c r="J9" s="57">
        <f t="shared" si="2"/>
        <v>0</v>
      </c>
      <c r="K9" s="57">
        <f t="shared" si="3"/>
        <v>0</v>
      </c>
      <c r="L9" s="57">
        <f t="shared" si="4"/>
        <v>18000</v>
      </c>
      <c r="M9" s="57">
        <f t="shared" si="5"/>
        <v>0</v>
      </c>
      <c r="N9" s="57">
        <f t="shared" si="6"/>
        <v>124200180</v>
      </c>
      <c r="O9" s="57">
        <f t="shared" si="7"/>
        <v>124200180</v>
      </c>
    </row>
    <row r="10" spans="1:19" s="8" customFormat="1" x14ac:dyDescent="0.25">
      <c r="A10" s="54">
        <v>3</v>
      </c>
      <c r="B10" s="53" t="s">
        <v>43</v>
      </c>
      <c r="C10" s="55">
        <v>3375.01</v>
      </c>
      <c r="D10" s="60">
        <v>2024</v>
      </c>
      <c r="E10" s="60">
        <v>2024</v>
      </c>
      <c r="F10" s="61">
        <v>50</v>
      </c>
      <c r="G10" s="62">
        <v>18000</v>
      </c>
      <c r="H10" s="63">
        <f t="shared" si="0"/>
        <v>0</v>
      </c>
      <c r="I10" s="63">
        <f t="shared" si="1"/>
        <v>50</v>
      </c>
      <c r="J10" s="57">
        <f t="shared" si="2"/>
        <v>0</v>
      </c>
      <c r="K10" s="57">
        <f t="shared" si="3"/>
        <v>0</v>
      </c>
      <c r="L10" s="57">
        <f t="shared" si="4"/>
        <v>18000</v>
      </c>
      <c r="M10" s="57">
        <f t="shared" si="5"/>
        <v>0</v>
      </c>
      <c r="N10" s="57">
        <f t="shared" si="6"/>
        <v>60750180</v>
      </c>
      <c r="O10" s="57">
        <f t="shared" si="7"/>
        <v>60750180</v>
      </c>
      <c r="P10" s="8">
        <v>100</v>
      </c>
      <c r="Q10" s="8">
        <v>30</v>
      </c>
      <c r="R10" s="68">
        <f>O10/P10*Q10</f>
        <v>18225054</v>
      </c>
    </row>
    <row r="11" spans="1:19" s="8" customFormat="1" x14ac:dyDescent="0.25">
      <c r="A11" s="54">
        <v>4</v>
      </c>
      <c r="B11" s="53" t="s">
        <v>44</v>
      </c>
      <c r="C11" s="55">
        <v>1610.38</v>
      </c>
      <c r="D11" s="60">
        <v>2024</v>
      </c>
      <c r="E11" s="60">
        <v>2024</v>
      </c>
      <c r="F11" s="61">
        <v>50</v>
      </c>
      <c r="G11" s="62">
        <v>15000</v>
      </c>
      <c r="H11" s="63">
        <f t="shared" si="0"/>
        <v>0</v>
      </c>
      <c r="I11" s="63">
        <f t="shared" si="1"/>
        <v>50</v>
      </c>
      <c r="J11" s="57">
        <f t="shared" si="2"/>
        <v>0</v>
      </c>
      <c r="K11" s="57">
        <f t="shared" si="3"/>
        <v>0</v>
      </c>
      <c r="L11" s="57">
        <f t="shared" si="4"/>
        <v>15000</v>
      </c>
      <c r="M11" s="57">
        <f t="shared" si="5"/>
        <v>0</v>
      </c>
      <c r="N11" s="57">
        <f t="shared" si="6"/>
        <v>24155700</v>
      </c>
      <c r="O11" s="57">
        <f t="shared" si="7"/>
        <v>24155700</v>
      </c>
    </row>
    <row r="12" spans="1:19" s="8" customFormat="1" x14ac:dyDescent="0.25">
      <c r="A12" s="54">
        <v>5</v>
      </c>
      <c r="B12" s="53" t="s">
        <v>45</v>
      </c>
      <c r="C12" s="55">
        <v>6398.77</v>
      </c>
      <c r="D12" s="60">
        <v>2024</v>
      </c>
      <c r="E12" s="60">
        <v>2024</v>
      </c>
      <c r="F12" s="61">
        <v>50</v>
      </c>
      <c r="G12" s="62">
        <v>18000</v>
      </c>
      <c r="H12" s="63">
        <f t="shared" si="0"/>
        <v>0</v>
      </c>
      <c r="I12" s="63">
        <f t="shared" si="1"/>
        <v>50</v>
      </c>
      <c r="J12" s="57">
        <f t="shared" si="2"/>
        <v>0</v>
      </c>
      <c r="K12" s="57">
        <f t="shared" si="3"/>
        <v>0</v>
      </c>
      <c r="L12" s="57">
        <f t="shared" si="4"/>
        <v>18000</v>
      </c>
      <c r="M12" s="57">
        <f t="shared" si="5"/>
        <v>0</v>
      </c>
      <c r="N12" s="57">
        <f t="shared" si="6"/>
        <v>115177860</v>
      </c>
      <c r="O12" s="57">
        <f t="shared" si="7"/>
        <v>115177860</v>
      </c>
    </row>
    <row r="13" spans="1:19" s="8" customFormat="1" x14ac:dyDescent="0.25">
      <c r="A13" s="54">
        <v>6</v>
      </c>
      <c r="B13" s="53" t="s">
        <v>46</v>
      </c>
      <c r="C13" s="55">
        <v>971.1</v>
      </c>
      <c r="D13" s="60">
        <v>2024</v>
      </c>
      <c r="E13" s="60">
        <v>2024</v>
      </c>
      <c r="F13" s="61">
        <v>50</v>
      </c>
      <c r="G13" s="62">
        <v>15000</v>
      </c>
      <c r="H13" s="63">
        <f t="shared" si="0"/>
        <v>0</v>
      </c>
      <c r="I13" s="63">
        <f t="shared" si="1"/>
        <v>50</v>
      </c>
      <c r="J13" s="57">
        <f t="shared" si="2"/>
        <v>0</v>
      </c>
      <c r="K13" s="57">
        <f t="shared" si="3"/>
        <v>0</v>
      </c>
      <c r="L13" s="57">
        <f t="shared" si="4"/>
        <v>15000</v>
      </c>
      <c r="M13" s="57">
        <f t="shared" si="5"/>
        <v>0</v>
      </c>
      <c r="N13" s="57">
        <f t="shared" si="6"/>
        <v>14566500</v>
      </c>
      <c r="O13" s="57">
        <f t="shared" si="7"/>
        <v>14566500</v>
      </c>
    </row>
    <row r="14" spans="1:19" s="8" customFormat="1" ht="17.25" customHeight="1" x14ac:dyDescent="0.25">
      <c r="A14" s="54">
        <v>7</v>
      </c>
      <c r="B14" s="53" t="s">
        <v>47</v>
      </c>
      <c r="C14" s="55">
        <v>1140.93</v>
      </c>
      <c r="D14" s="60">
        <v>2024</v>
      </c>
      <c r="E14" s="60">
        <v>2024</v>
      </c>
      <c r="F14" s="61">
        <v>50</v>
      </c>
      <c r="G14" s="62">
        <v>15000</v>
      </c>
      <c r="H14" s="63">
        <f t="shared" si="0"/>
        <v>0</v>
      </c>
      <c r="I14" s="63">
        <f t="shared" si="1"/>
        <v>50</v>
      </c>
      <c r="J14" s="57">
        <f t="shared" si="2"/>
        <v>0</v>
      </c>
      <c r="K14" s="57">
        <f t="shared" si="3"/>
        <v>0</v>
      </c>
      <c r="L14" s="57">
        <f t="shared" si="4"/>
        <v>15000</v>
      </c>
      <c r="M14" s="57">
        <f t="shared" si="5"/>
        <v>0</v>
      </c>
      <c r="N14" s="57">
        <f t="shared" si="6"/>
        <v>17113950</v>
      </c>
      <c r="O14" s="57">
        <f t="shared" si="7"/>
        <v>17113950</v>
      </c>
    </row>
    <row r="15" spans="1:19" s="8" customFormat="1" x14ac:dyDescent="0.25">
      <c r="A15" s="54">
        <v>8</v>
      </c>
      <c r="B15" s="53" t="s">
        <v>48</v>
      </c>
      <c r="C15" s="55">
        <v>831.68</v>
      </c>
      <c r="D15" s="60">
        <v>2024</v>
      </c>
      <c r="E15" s="60">
        <v>2024</v>
      </c>
      <c r="F15" s="61">
        <v>50</v>
      </c>
      <c r="G15" s="62">
        <v>15000</v>
      </c>
      <c r="H15" s="63">
        <f t="shared" si="0"/>
        <v>0</v>
      </c>
      <c r="I15" s="63">
        <f t="shared" si="1"/>
        <v>50</v>
      </c>
      <c r="J15" s="57">
        <f t="shared" si="2"/>
        <v>0</v>
      </c>
      <c r="K15" s="57">
        <f t="shared" si="3"/>
        <v>0</v>
      </c>
      <c r="L15" s="57">
        <f t="shared" si="4"/>
        <v>15000</v>
      </c>
      <c r="M15" s="57">
        <f t="shared" si="5"/>
        <v>0</v>
      </c>
      <c r="N15" s="57">
        <f t="shared" si="6"/>
        <v>12475200</v>
      </c>
      <c r="O15" s="57">
        <f t="shared" si="7"/>
        <v>12475200</v>
      </c>
    </row>
    <row r="16" spans="1:19" s="8" customFormat="1" x14ac:dyDescent="0.25">
      <c r="A16" s="54">
        <v>9</v>
      </c>
      <c r="B16" s="53" t="s">
        <v>49</v>
      </c>
      <c r="C16" s="55">
        <v>450.01</v>
      </c>
      <c r="D16" s="60">
        <v>2024</v>
      </c>
      <c r="E16" s="60">
        <v>2024</v>
      </c>
      <c r="F16" s="61">
        <v>50</v>
      </c>
      <c r="G16" s="62">
        <v>15000</v>
      </c>
      <c r="H16" s="63">
        <f t="shared" si="0"/>
        <v>0</v>
      </c>
      <c r="I16" s="63">
        <f t="shared" si="1"/>
        <v>50</v>
      </c>
      <c r="J16" s="57">
        <f t="shared" si="2"/>
        <v>0</v>
      </c>
      <c r="K16" s="57">
        <f t="shared" si="3"/>
        <v>0</v>
      </c>
      <c r="L16" s="57">
        <f t="shared" si="4"/>
        <v>15000</v>
      </c>
      <c r="M16" s="57">
        <f t="shared" si="5"/>
        <v>0</v>
      </c>
      <c r="N16" s="57">
        <f t="shared" si="6"/>
        <v>6750150</v>
      </c>
      <c r="O16" s="57">
        <f t="shared" si="7"/>
        <v>6750150</v>
      </c>
    </row>
    <row r="17" spans="1:18" x14ac:dyDescent="0.3">
      <c r="A17" s="54">
        <v>10</v>
      </c>
      <c r="B17" s="53" t="s">
        <v>50</v>
      </c>
      <c r="C17" s="55">
        <v>570.76</v>
      </c>
      <c r="D17" s="60">
        <v>2024</v>
      </c>
      <c r="E17" s="60">
        <v>2024</v>
      </c>
      <c r="F17" s="61">
        <v>50</v>
      </c>
      <c r="G17" s="62">
        <v>18000</v>
      </c>
      <c r="H17" s="63">
        <f t="shared" si="0"/>
        <v>0</v>
      </c>
      <c r="I17" s="63">
        <f t="shared" si="1"/>
        <v>50</v>
      </c>
      <c r="J17" s="57">
        <f t="shared" si="2"/>
        <v>0</v>
      </c>
      <c r="K17" s="57">
        <f t="shared" si="3"/>
        <v>0</v>
      </c>
      <c r="L17" s="57">
        <f t="shared" si="4"/>
        <v>18000</v>
      </c>
      <c r="M17" s="57">
        <f t="shared" si="5"/>
        <v>0</v>
      </c>
      <c r="N17" s="57">
        <f t="shared" si="6"/>
        <v>10273680</v>
      </c>
      <c r="O17" s="57">
        <f t="shared" si="7"/>
        <v>10273680</v>
      </c>
    </row>
    <row r="18" spans="1:18" x14ac:dyDescent="0.3">
      <c r="A18" s="54">
        <v>11</v>
      </c>
      <c r="B18" s="53" t="s">
        <v>51</v>
      </c>
      <c r="C18" s="55">
        <v>206.32</v>
      </c>
      <c r="D18" s="60">
        <v>2024</v>
      </c>
      <c r="E18" s="60">
        <v>2024</v>
      </c>
      <c r="F18" s="61">
        <v>50</v>
      </c>
      <c r="G18" s="62">
        <v>18000</v>
      </c>
      <c r="H18" s="63">
        <f t="shared" si="0"/>
        <v>0</v>
      </c>
      <c r="I18" s="63">
        <f t="shared" si="1"/>
        <v>50</v>
      </c>
      <c r="J18" s="57">
        <f t="shared" si="2"/>
        <v>0</v>
      </c>
      <c r="K18" s="57">
        <f t="shared" si="3"/>
        <v>0</v>
      </c>
      <c r="L18" s="57">
        <f t="shared" si="4"/>
        <v>18000</v>
      </c>
      <c r="M18" s="57">
        <f t="shared" si="5"/>
        <v>0</v>
      </c>
      <c r="N18" s="57">
        <f t="shared" si="6"/>
        <v>3713760</v>
      </c>
      <c r="O18" s="57">
        <f t="shared" si="7"/>
        <v>3713760</v>
      </c>
    </row>
    <row r="19" spans="1:18" x14ac:dyDescent="0.3">
      <c r="A19" s="54">
        <v>12</v>
      </c>
      <c r="B19" s="53" t="s">
        <v>52</v>
      </c>
      <c r="C19" s="55">
        <v>1000</v>
      </c>
      <c r="D19" s="60">
        <v>2024</v>
      </c>
      <c r="E19" s="60">
        <v>2024</v>
      </c>
      <c r="F19" s="61">
        <v>50</v>
      </c>
      <c r="G19" s="62">
        <v>5000</v>
      </c>
      <c r="H19" s="63">
        <f t="shared" si="0"/>
        <v>0</v>
      </c>
      <c r="I19" s="63">
        <f t="shared" si="1"/>
        <v>50</v>
      </c>
      <c r="J19" s="57">
        <f t="shared" si="2"/>
        <v>0</v>
      </c>
      <c r="K19" s="57">
        <f t="shared" si="3"/>
        <v>0</v>
      </c>
      <c r="L19" s="57">
        <f t="shared" si="4"/>
        <v>5000</v>
      </c>
      <c r="M19" s="57">
        <f t="shared" si="5"/>
        <v>0</v>
      </c>
      <c r="N19" s="57">
        <f t="shared" si="6"/>
        <v>5000000</v>
      </c>
      <c r="O19" s="57">
        <f t="shared" si="7"/>
        <v>5000000</v>
      </c>
    </row>
    <row r="20" spans="1:18" x14ac:dyDescent="0.3">
      <c r="A20" s="54">
        <v>13</v>
      </c>
      <c r="B20" s="53" t="s">
        <v>53</v>
      </c>
      <c r="C20" s="55">
        <v>1125</v>
      </c>
      <c r="D20" s="60">
        <v>2024</v>
      </c>
      <c r="E20" s="60">
        <v>2024</v>
      </c>
      <c r="F20" s="61">
        <v>50</v>
      </c>
      <c r="G20" s="62">
        <v>15000</v>
      </c>
      <c r="H20" s="63">
        <f t="shared" si="0"/>
        <v>0</v>
      </c>
      <c r="I20" s="63">
        <f t="shared" si="1"/>
        <v>50</v>
      </c>
      <c r="J20" s="57">
        <f t="shared" si="2"/>
        <v>0</v>
      </c>
      <c r="K20" s="57">
        <f t="shared" si="3"/>
        <v>0</v>
      </c>
      <c r="L20" s="57">
        <f t="shared" si="4"/>
        <v>15000</v>
      </c>
      <c r="M20" s="57">
        <f t="shared" si="5"/>
        <v>0</v>
      </c>
      <c r="N20" s="57">
        <f t="shared" si="6"/>
        <v>16875000</v>
      </c>
      <c r="O20" s="57">
        <f t="shared" si="7"/>
        <v>16875000</v>
      </c>
    </row>
    <row r="21" spans="1:18" x14ac:dyDescent="0.3">
      <c r="A21" s="54">
        <v>14</v>
      </c>
      <c r="B21" s="53" t="s">
        <v>53</v>
      </c>
      <c r="C21" s="55">
        <v>8935.23</v>
      </c>
      <c r="D21" s="60">
        <v>2024</v>
      </c>
      <c r="E21" s="60">
        <v>2024</v>
      </c>
      <c r="F21" s="61">
        <v>50</v>
      </c>
      <c r="G21" s="62">
        <v>15000</v>
      </c>
      <c r="H21" s="63">
        <f t="shared" si="0"/>
        <v>0</v>
      </c>
      <c r="I21" s="63">
        <f t="shared" si="1"/>
        <v>50</v>
      </c>
      <c r="J21" s="57">
        <f t="shared" si="2"/>
        <v>0</v>
      </c>
      <c r="K21" s="57">
        <f t="shared" si="3"/>
        <v>0</v>
      </c>
      <c r="L21" s="57">
        <f t="shared" si="4"/>
        <v>15000</v>
      </c>
      <c r="M21" s="57">
        <f t="shared" si="5"/>
        <v>0</v>
      </c>
      <c r="N21" s="57">
        <f t="shared" si="6"/>
        <v>134028450</v>
      </c>
      <c r="O21" s="57">
        <f t="shared" si="7"/>
        <v>134028450</v>
      </c>
    </row>
    <row r="22" spans="1:18" x14ac:dyDescent="0.3">
      <c r="A22" s="54">
        <v>15</v>
      </c>
      <c r="B22" s="53" t="s">
        <v>54</v>
      </c>
      <c r="C22" s="55">
        <v>933.51</v>
      </c>
      <c r="D22" s="60">
        <v>2024</v>
      </c>
      <c r="E22" s="60">
        <v>2024</v>
      </c>
      <c r="F22" s="61">
        <v>50</v>
      </c>
      <c r="G22" s="62">
        <v>18000</v>
      </c>
      <c r="H22" s="63">
        <f t="shared" si="0"/>
        <v>0</v>
      </c>
      <c r="I22" s="63">
        <f t="shared" si="1"/>
        <v>50</v>
      </c>
      <c r="J22" s="57">
        <f t="shared" si="2"/>
        <v>0</v>
      </c>
      <c r="K22" s="57">
        <f t="shared" si="3"/>
        <v>0</v>
      </c>
      <c r="L22" s="57">
        <f t="shared" si="4"/>
        <v>18000</v>
      </c>
      <c r="M22" s="57">
        <f t="shared" si="5"/>
        <v>0</v>
      </c>
      <c r="N22" s="57">
        <f t="shared" si="6"/>
        <v>16803180</v>
      </c>
      <c r="O22" s="57">
        <f t="shared" si="7"/>
        <v>16803180</v>
      </c>
    </row>
    <row r="23" spans="1:18" x14ac:dyDescent="0.3">
      <c r="A23" s="54">
        <v>16</v>
      </c>
      <c r="B23" s="53" t="s">
        <v>55</v>
      </c>
      <c r="C23" s="55">
        <v>8646.6299999999992</v>
      </c>
      <c r="D23" s="60">
        <v>2024</v>
      </c>
      <c r="E23" s="60">
        <v>2024</v>
      </c>
      <c r="F23" s="61">
        <v>50</v>
      </c>
      <c r="G23" s="62">
        <v>15000</v>
      </c>
      <c r="H23" s="63">
        <f t="shared" si="0"/>
        <v>0</v>
      </c>
      <c r="I23" s="63">
        <f t="shared" si="1"/>
        <v>50</v>
      </c>
      <c r="J23" s="57">
        <f t="shared" si="2"/>
        <v>0</v>
      </c>
      <c r="K23" s="57">
        <f t="shared" si="3"/>
        <v>0</v>
      </c>
      <c r="L23" s="57">
        <f t="shared" si="4"/>
        <v>15000</v>
      </c>
      <c r="M23" s="57">
        <f t="shared" si="5"/>
        <v>0</v>
      </c>
      <c r="N23" s="57">
        <f t="shared" si="6"/>
        <v>129699450</v>
      </c>
      <c r="O23" s="57">
        <f t="shared" si="7"/>
        <v>129699450</v>
      </c>
    </row>
    <row r="24" spans="1:18" x14ac:dyDescent="0.3">
      <c r="A24" s="54">
        <v>17</v>
      </c>
      <c r="B24" s="53" t="s">
        <v>56</v>
      </c>
      <c r="C24" s="55">
        <v>204.6</v>
      </c>
      <c r="D24" s="60">
        <v>2024</v>
      </c>
      <c r="E24" s="60">
        <v>2024</v>
      </c>
      <c r="F24" s="61">
        <v>50</v>
      </c>
      <c r="G24" s="62">
        <v>15000</v>
      </c>
      <c r="H24" s="63">
        <f t="shared" si="0"/>
        <v>0</v>
      </c>
      <c r="I24" s="63">
        <f t="shared" si="1"/>
        <v>50</v>
      </c>
      <c r="J24" s="57">
        <f t="shared" si="2"/>
        <v>0</v>
      </c>
      <c r="K24" s="57">
        <f t="shared" si="3"/>
        <v>0</v>
      </c>
      <c r="L24" s="57">
        <f t="shared" si="4"/>
        <v>15000</v>
      </c>
      <c r="M24" s="57">
        <f t="shared" si="5"/>
        <v>0</v>
      </c>
      <c r="N24" s="57">
        <f t="shared" si="6"/>
        <v>3069000</v>
      </c>
      <c r="O24" s="57">
        <f t="shared" si="7"/>
        <v>3069000</v>
      </c>
    </row>
    <row r="25" spans="1:18" x14ac:dyDescent="0.3">
      <c r="A25" s="54">
        <v>18</v>
      </c>
      <c r="B25" s="53" t="s">
        <v>57</v>
      </c>
      <c r="C25" s="55">
        <v>1500</v>
      </c>
      <c r="D25" s="60">
        <v>2024</v>
      </c>
      <c r="E25" s="60">
        <v>2024</v>
      </c>
      <c r="F25" s="61">
        <v>50</v>
      </c>
      <c r="G25" s="62">
        <v>15000</v>
      </c>
      <c r="H25" s="63">
        <f t="shared" si="0"/>
        <v>0</v>
      </c>
      <c r="I25" s="63">
        <f t="shared" si="1"/>
        <v>50</v>
      </c>
      <c r="J25" s="57">
        <f t="shared" si="2"/>
        <v>0</v>
      </c>
      <c r="K25" s="57">
        <f t="shared" si="3"/>
        <v>0</v>
      </c>
      <c r="L25" s="57">
        <f t="shared" si="4"/>
        <v>15000</v>
      </c>
      <c r="M25" s="57">
        <f t="shared" si="5"/>
        <v>0</v>
      </c>
      <c r="N25" s="57">
        <f t="shared" si="6"/>
        <v>22500000</v>
      </c>
      <c r="O25" s="57">
        <f t="shared" si="7"/>
        <v>22500000</v>
      </c>
    </row>
    <row r="26" spans="1:18" x14ac:dyDescent="0.3">
      <c r="A26" s="54">
        <v>19</v>
      </c>
      <c r="B26" s="53" t="s">
        <v>58</v>
      </c>
      <c r="C26" s="55">
        <v>2500</v>
      </c>
      <c r="D26" s="60">
        <v>2024</v>
      </c>
      <c r="E26" s="60">
        <v>2024</v>
      </c>
      <c r="F26" s="61">
        <v>50</v>
      </c>
      <c r="G26" s="62">
        <v>18000</v>
      </c>
      <c r="H26" s="63">
        <f t="shared" si="0"/>
        <v>0</v>
      </c>
      <c r="I26" s="63">
        <f t="shared" si="1"/>
        <v>50</v>
      </c>
      <c r="J26" s="57">
        <f t="shared" si="2"/>
        <v>0</v>
      </c>
      <c r="K26" s="57">
        <f t="shared" si="3"/>
        <v>0</v>
      </c>
      <c r="L26" s="57">
        <f t="shared" si="4"/>
        <v>18000</v>
      </c>
      <c r="M26" s="57">
        <f t="shared" si="5"/>
        <v>0</v>
      </c>
      <c r="N26" s="57">
        <f t="shared" si="6"/>
        <v>45000000</v>
      </c>
      <c r="O26" s="57">
        <f t="shared" si="7"/>
        <v>45000000</v>
      </c>
    </row>
    <row r="27" spans="1:18" x14ac:dyDescent="0.3">
      <c r="A27" s="54">
        <v>20</v>
      </c>
      <c r="B27" s="53" t="s">
        <v>59</v>
      </c>
      <c r="C27" s="55">
        <v>3796</v>
      </c>
      <c r="D27" s="60">
        <v>2024</v>
      </c>
      <c r="E27" s="60">
        <v>2024</v>
      </c>
      <c r="F27" s="61">
        <v>50</v>
      </c>
      <c r="G27" s="62">
        <v>18000</v>
      </c>
      <c r="H27" s="63">
        <f t="shared" si="0"/>
        <v>0</v>
      </c>
      <c r="I27" s="63">
        <f t="shared" si="1"/>
        <v>50</v>
      </c>
      <c r="J27" s="57">
        <f t="shared" si="2"/>
        <v>0</v>
      </c>
      <c r="K27" s="57">
        <f t="shared" si="3"/>
        <v>0</v>
      </c>
      <c r="L27" s="57">
        <f t="shared" si="4"/>
        <v>18000</v>
      </c>
      <c r="M27" s="57">
        <f t="shared" si="5"/>
        <v>0</v>
      </c>
      <c r="N27" s="57">
        <f t="shared" si="6"/>
        <v>68328000</v>
      </c>
      <c r="O27" s="57">
        <f t="shared" si="7"/>
        <v>68328000</v>
      </c>
    </row>
    <row r="28" spans="1:18" x14ac:dyDescent="0.3">
      <c r="A28" s="54">
        <v>21</v>
      </c>
      <c r="B28" s="53" t="s">
        <v>60</v>
      </c>
      <c r="C28" s="55">
        <v>2008.46</v>
      </c>
      <c r="D28" s="60">
        <v>2024</v>
      </c>
      <c r="E28" s="60">
        <v>2024</v>
      </c>
      <c r="F28" s="61">
        <v>50</v>
      </c>
      <c r="G28" s="62">
        <v>18000</v>
      </c>
      <c r="H28" s="63">
        <f t="shared" si="0"/>
        <v>0</v>
      </c>
      <c r="I28" s="63">
        <f t="shared" si="1"/>
        <v>50</v>
      </c>
      <c r="J28" s="57">
        <f t="shared" si="2"/>
        <v>0</v>
      </c>
      <c r="K28" s="57">
        <f t="shared" si="3"/>
        <v>0</v>
      </c>
      <c r="L28" s="57">
        <f t="shared" si="4"/>
        <v>18000</v>
      </c>
      <c r="M28" s="57">
        <f t="shared" si="5"/>
        <v>0</v>
      </c>
      <c r="N28" s="57">
        <f t="shared" si="6"/>
        <v>36152280</v>
      </c>
      <c r="O28" s="57">
        <f t="shared" si="7"/>
        <v>36152280</v>
      </c>
    </row>
    <row r="29" spans="1:18" x14ac:dyDescent="0.3">
      <c r="A29" s="51"/>
      <c r="B29" s="50"/>
      <c r="C29" s="56">
        <f>SUM(C8:C28)</f>
        <v>53445.039999999994</v>
      </c>
      <c r="D29" s="58"/>
      <c r="E29" s="59"/>
      <c r="F29" s="57"/>
      <c r="G29" s="57"/>
      <c r="H29" s="57"/>
      <c r="I29" s="57"/>
      <c r="J29" s="58"/>
      <c r="K29" s="57"/>
      <c r="L29" s="58"/>
      <c r="M29" s="57">
        <f t="shared" si="5"/>
        <v>0</v>
      </c>
      <c r="N29" s="57">
        <f>SUM(N8:N28)</f>
        <v>872764040</v>
      </c>
      <c r="O29" s="57">
        <f>SUM(O8:O28)</f>
        <v>872764040</v>
      </c>
      <c r="R29" s="69">
        <f>SUM(R8:R28)</f>
        <v>21290814</v>
      </c>
    </row>
    <row r="30" spans="1:18" x14ac:dyDescent="0.3">
      <c r="B30" s="7"/>
      <c r="C30" s="8"/>
      <c r="D30" s="8"/>
      <c r="E30" s="8"/>
      <c r="F30" s="9"/>
      <c r="G30" s="9"/>
      <c r="H30" s="9"/>
      <c r="I30" s="9"/>
      <c r="J30" s="8"/>
      <c r="K30" s="13"/>
      <c r="L30" s="14"/>
      <c r="M30" s="9"/>
      <c r="N30" s="24"/>
      <c r="O30" s="24"/>
    </row>
    <row r="31" spans="1:18" x14ac:dyDescent="0.3">
      <c r="B31" s="88" t="s">
        <v>17</v>
      </c>
      <c r="C31" s="88"/>
      <c r="D31" s="8"/>
      <c r="E31" s="8"/>
      <c r="F31" s="9"/>
      <c r="G31" s="9"/>
      <c r="H31" s="9"/>
      <c r="I31" s="9"/>
      <c r="J31" s="8"/>
      <c r="K31" s="13"/>
      <c r="L31" s="14"/>
      <c r="M31" s="9"/>
      <c r="N31" s="24"/>
      <c r="O31" s="24"/>
    </row>
    <row r="32" spans="1:18" x14ac:dyDescent="0.3">
      <c r="B32" s="20" t="s">
        <v>16</v>
      </c>
      <c r="C32" s="37">
        <v>0</v>
      </c>
      <c r="D32" s="8"/>
      <c r="E32" s="8"/>
      <c r="F32" s="9"/>
      <c r="G32" s="9"/>
      <c r="H32" s="9"/>
      <c r="I32" s="9"/>
      <c r="J32" s="8"/>
      <c r="K32" s="13"/>
      <c r="L32" s="14"/>
      <c r="M32" s="9"/>
      <c r="N32" s="24"/>
      <c r="O32" s="24"/>
    </row>
    <row r="33" spans="1:15" x14ac:dyDescent="0.3">
      <c r="B33" s="21" t="s">
        <v>5</v>
      </c>
      <c r="C33" s="34">
        <v>0</v>
      </c>
      <c r="D33" s="8"/>
      <c r="E33" s="8"/>
      <c r="F33" s="9"/>
      <c r="G33" s="9"/>
      <c r="H33" s="9"/>
      <c r="I33" s="9"/>
      <c r="J33" s="8"/>
      <c r="K33" s="13"/>
      <c r="L33" s="14"/>
      <c r="M33" s="9"/>
      <c r="N33" s="24"/>
      <c r="O33" s="24"/>
    </row>
    <row r="34" spans="1:15" x14ac:dyDescent="0.3">
      <c r="B34" s="21" t="s">
        <v>6</v>
      </c>
      <c r="C34" s="36">
        <f>ROUND((C32*C33),0)</f>
        <v>0</v>
      </c>
      <c r="D34" s="8"/>
      <c r="E34" s="8"/>
      <c r="F34" s="9"/>
      <c r="G34" s="9"/>
      <c r="H34" s="9"/>
      <c r="I34" s="9"/>
      <c r="J34" s="8"/>
      <c r="K34" s="13"/>
      <c r="L34" s="14"/>
      <c r="M34" s="9"/>
      <c r="N34" s="24"/>
      <c r="O34" s="24"/>
    </row>
    <row r="35" spans="1:15" x14ac:dyDescent="0.3">
      <c r="B35" s="7"/>
      <c r="C35" s="8"/>
      <c r="D35" s="8"/>
      <c r="E35" s="8"/>
      <c r="F35" s="9"/>
      <c r="G35" s="9"/>
      <c r="H35" s="9"/>
      <c r="I35" s="9"/>
      <c r="J35" s="8"/>
      <c r="K35" s="13"/>
      <c r="L35" s="14"/>
      <c r="M35" s="9"/>
      <c r="N35" s="24"/>
      <c r="O35" s="24"/>
    </row>
    <row r="36" spans="1:15" ht="22.5" customHeight="1" x14ac:dyDescent="0.3">
      <c r="B36" s="89" t="s">
        <v>14</v>
      </c>
      <c r="C36" s="90"/>
      <c r="D36" s="8"/>
      <c r="E36" s="8"/>
      <c r="F36" s="9"/>
      <c r="G36" s="9"/>
      <c r="H36" s="9"/>
      <c r="I36" s="9"/>
      <c r="J36" s="8"/>
      <c r="K36" s="9"/>
      <c r="L36" s="8"/>
      <c r="M36" s="9"/>
      <c r="N36" s="9"/>
      <c r="O36" s="9"/>
    </row>
    <row r="37" spans="1:15" x14ac:dyDescent="0.3">
      <c r="B37" s="20" t="s">
        <v>10</v>
      </c>
      <c r="C37" s="37">
        <v>0</v>
      </c>
      <c r="E37" s="25"/>
      <c r="F37" s="25"/>
      <c r="G37" s="26"/>
      <c r="H37" s="11"/>
      <c r="I37" s="11"/>
      <c r="L37" s="18"/>
    </row>
    <row r="38" spans="1:15" x14ac:dyDescent="0.3">
      <c r="B38" s="21" t="s">
        <v>5</v>
      </c>
      <c r="C38" s="34">
        <v>0</v>
      </c>
      <c r="D38" s="27"/>
      <c r="E38" s="19"/>
      <c r="F38" s="19"/>
      <c r="G38" s="13"/>
      <c r="H38" s="11"/>
      <c r="I38" s="11"/>
      <c r="L38" s="18"/>
    </row>
    <row r="39" spans="1:15" x14ac:dyDescent="0.3">
      <c r="B39" s="21" t="s">
        <v>6</v>
      </c>
      <c r="C39" s="36">
        <f>ROUND((C37*C38),0)</f>
        <v>0</v>
      </c>
      <c r="D39" s="6"/>
      <c r="E39" s="6"/>
      <c r="F39" s="18"/>
      <c r="H39" s="11"/>
      <c r="I39" s="11"/>
      <c r="L39" s="18"/>
    </row>
    <row r="40" spans="1:15" x14ac:dyDescent="0.3">
      <c r="B40" s="33"/>
      <c r="C40" s="16"/>
      <c r="D40" s="6"/>
      <c r="E40" s="6"/>
      <c r="F40" s="18"/>
      <c r="H40" s="11"/>
      <c r="I40" s="11"/>
      <c r="L40" s="18"/>
    </row>
    <row r="41" spans="1:15" x14ac:dyDescent="0.3">
      <c r="C41" s="6" t="s">
        <v>61</v>
      </c>
      <c r="D41" s="6" t="s">
        <v>62</v>
      </c>
      <c r="E41" s="6"/>
      <c r="F41" s="18"/>
      <c r="H41" s="11"/>
      <c r="I41" s="11"/>
      <c r="L41" s="18"/>
    </row>
    <row r="42" spans="1:15" ht="17.25" thickBot="1" x14ac:dyDescent="0.35">
      <c r="B42" s="2" t="s">
        <v>12</v>
      </c>
      <c r="C42" s="43">
        <f>C4</f>
        <v>1407303000</v>
      </c>
      <c r="D42" s="16">
        <f>C42</f>
        <v>1407303000</v>
      </c>
      <c r="E42" s="16"/>
      <c r="F42" s="16"/>
      <c r="G42" s="16"/>
      <c r="H42" s="17"/>
      <c r="I42" s="17"/>
      <c r="L42" s="15"/>
    </row>
    <row r="43" spans="1:15" ht="33.75" thickBot="1" x14ac:dyDescent="0.35">
      <c r="B43" s="2" t="s">
        <v>13</v>
      </c>
      <c r="C43" s="43">
        <v>560800000</v>
      </c>
      <c r="D43" s="16">
        <f>R29</f>
        <v>21290814</v>
      </c>
      <c r="E43" s="16"/>
      <c r="F43" s="16"/>
      <c r="G43" s="16"/>
      <c r="H43" s="17"/>
      <c r="I43" s="92" t="s">
        <v>22</v>
      </c>
      <c r="J43" s="93" t="s">
        <v>80</v>
      </c>
      <c r="K43" s="93" t="s">
        <v>81</v>
      </c>
      <c r="L43" s="93" t="s">
        <v>82</v>
      </c>
    </row>
    <row r="44" spans="1:15" ht="17.25" thickBot="1" x14ac:dyDescent="0.35">
      <c r="B44" s="2" t="s">
        <v>18</v>
      </c>
      <c r="C44" s="43">
        <f>C34</f>
        <v>0</v>
      </c>
      <c r="D44" s="16"/>
      <c r="E44" s="16"/>
      <c r="F44" s="16"/>
      <c r="G44" s="16"/>
      <c r="H44" s="17"/>
      <c r="I44" s="94" t="s">
        <v>83</v>
      </c>
      <c r="J44" s="95">
        <v>196.81</v>
      </c>
      <c r="K44" s="95">
        <v>167.29</v>
      </c>
      <c r="L44" s="95">
        <v>137.77000000000001</v>
      </c>
    </row>
    <row r="45" spans="1:15" ht="33.75" thickBot="1" x14ac:dyDescent="0.35">
      <c r="A45" s="1"/>
      <c r="B45" s="2" t="s">
        <v>11</v>
      </c>
      <c r="C45" s="43">
        <f>C39</f>
        <v>0</v>
      </c>
      <c r="D45" s="16"/>
      <c r="E45" s="16"/>
      <c r="F45" s="16"/>
      <c r="G45" s="16"/>
      <c r="H45" s="17"/>
      <c r="I45" s="94" t="s">
        <v>66</v>
      </c>
      <c r="J45" s="95">
        <v>155.54</v>
      </c>
      <c r="K45" s="95">
        <v>124.43</v>
      </c>
      <c r="L45" s="95">
        <v>77.77</v>
      </c>
    </row>
    <row r="46" spans="1:15" ht="33.75" thickBot="1" x14ac:dyDescent="0.35">
      <c r="A46" s="1"/>
      <c r="B46" s="10" t="s">
        <v>7</v>
      </c>
      <c r="C46" s="44">
        <f>C42+C43+C44+C45</f>
        <v>1968103000</v>
      </c>
      <c r="D46" s="44">
        <f>D42+D43+D44+D45</f>
        <v>1428593814</v>
      </c>
      <c r="F46" s="15"/>
      <c r="I46" s="94" t="s">
        <v>84</v>
      </c>
      <c r="J46" s="95">
        <v>4.8099999999999996</v>
      </c>
      <c r="K46" s="95">
        <v>4.33</v>
      </c>
      <c r="L46" s="95">
        <v>2.4</v>
      </c>
    </row>
    <row r="47" spans="1:15" ht="17.25" thickBot="1" x14ac:dyDescent="0.35">
      <c r="A47" s="1"/>
      <c r="B47" s="10" t="s">
        <v>8</v>
      </c>
      <c r="C47" s="44">
        <f>MROUND(C46*85%,1)</f>
        <v>1672887550</v>
      </c>
      <c r="D47" s="44">
        <f>MROUND(D46*90%,1)</f>
        <v>1285734433</v>
      </c>
      <c r="F47" s="15"/>
      <c r="H47" s="29"/>
      <c r="I47" s="96" t="s">
        <v>79</v>
      </c>
      <c r="J47" s="95">
        <f>SUM(J44:J46)</f>
        <v>357.16</v>
      </c>
      <c r="K47" s="95">
        <f>SUM(K44:K46)</f>
        <v>296.05</v>
      </c>
      <c r="L47" s="95">
        <f>SUM(L44:L46)</f>
        <v>217.94000000000003</v>
      </c>
    </row>
    <row r="48" spans="1:15" x14ac:dyDescent="0.3">
      <c r="A48" s="1"/>
      <c r="B48" s="10" t="s">
        <v>9</v>
      </c>
      <c r="C48" s="44">
        <f>MROUND(C46*70%,1)</f>
        <v>1377672100</v>
      </c>
      <c r="D48" s="44">
        <f>MROUND(D46*80%,1)</f>
        <v>1142875051</v>
      </c>
      <c r="F48" s="15"/>
      <c r="H48" s="29"/>
      <c r="I48" s="29"/>
    </row>
    <row r="49" spans="1:15" x14ac:dyDescent="0.3">
      <c r="A49" s="1"/>
      <c r="B49" s="2" t="s">
        <v>40</v>
      </c>
      <c r="C49" s="43">
        <f>C43</f>
        <v>560800000</v>
      </c>
      <c r="D49" s="43">
        <f>D43</f>
        <v>21290814</v>
      </c>
      <c r="O49" s="30"/>
    </row>
    <row r="50" spans="1:15" s="8" customFormat="1" ht="33" x14ac:dyDescent="0.25">
      <c r="B50" s="42" t="s">
        <v>39</v>
      </c>
      <c r="C50" s="91">
        <f>MROUND(C43*0.85,1)</f>
        <v>476680000</v>
      </c>
      <c r="D50" s="9">
        <f>MROUND(D43*0.85,1)</f>
        <v>18097192</v>
      </c>
      <c r="F50" s="9"/>
      <c r="G50" s="9"/>
      <c r="H50" s="9"/>
      <c r="I50" s="9"/>
      <c r="K50" s="9"/>
      <c r="M50" s="9"/>
      <c r="N50" s="9"/>
      <c r="O50" s="30"/>
    </row>
    <row r="51" spans="1:15" x14ac:dyDescent="0.3">
      <c r="A51" s="1"/>
      <c r="L51" s="31"/>
      <c r="O51" s="30"/>
    </row>
    <row r="52" spans="1:15" x14ac:dyDescent="0.3">
      <c r="A52" s="1"/>
      <c r="L52" s="31"/>
      <c r="O52" s="30"/>
    </row>
    <row r="53" spans="1:15" x14ac:dyDescent="0.3">
      <c r="A53" s="1"/>
      <c r="H53" s="29"/>
      <c r="I53" s="29"/>
      <c r="L53" s="31"/>
      <c r="O53" s="30"/>
    </row>
    <row r="54" spans="1:15" x14ac:dyDescent="0.3">
      <c r="A54" s="1"/>
      <c r="L54" s="31"/>
      <c r="O54" s="30"/>
    </row>
    <row r="55" spans="1:15" x14ac:dyDescent="0.3">
      <c r="A55" s="1"/>
      <c r="L55" s="31"/>
      <c r="O55" s="30"/>
    </row>
    <row r="56" spans="1:15" ht="49.5" x14ac:dyDescent="0.3">
      <c r="A56" s="1"/>
      <c r="E56" s="54">
        <v>1</v>
      </c>
      <c r="F56" s="53" t="s">
        <v>41</v>
      </c>
      <c r="G56" s="5">
        <v>294.16000000000003</v>
      </c>
      <c r="I56" s="65">
        <v>46.48</v>
      </c>
      <c r="J56" s="65">
        <v>0</v>
      </c>
      <c r="K56" s="55">
        <v>340.64</v>
      </c>
      <c r="L56" s="31">
        <f>G56+I56+J56</f>
        <v>340.64000000000004</v>
      </c>
      <c r="M56" s="67">
        <f>K56-L56</f>
        <v>0</v>
      </c>
      <c r="O56" s="30"/>
    </row>
    <row r="57" spans="1:15" x14ac:dyDescent="0.3">
      <c r="A57" s="1"/>
      <c r="E57" s="54">
        <v>2</v>
      </c>
      <c r="F57" s="53" t="s">
        <v>42</v>
      </c>
      <c r="G57" s="5">
        <v>6555.93</v>
      </c>
      <c r="I57" s="65">
        <v>266.83999999999997</v>
      </c>
      <c r="J57" s="65">
        <v>77.239999999999995</v>
      </c>
      <c r="K57" s="55">
        <v>6900.01</v>
      </c>
      <c r="L57" s="31">
        <f t="shared" ref="L57:L77" si="8">G57+I57+J57</f>
        <v>6900.01</v>
      </c>
      <c r="M57" s="67">
        <f t="shared" ref="M57:M76" si="9">K57-L57</f>
        <v>0</v>
      </c>
      <c r="O57" s="30"/>
    </row>
    <row r="58" spans="1:15" x14ac:dyDescent="0.3">
      <c r="A58" s="1"/>
      <c r="E58" s="54">
        <v>3</v>
      </c>
      <c r="F58" s="53" t="s">
        <v>43</v>
      </c>
      <c r="G58" s="5">
        <v>3202.96</v>
      </c>
      <c r="I58" s="65">
        <v>133.44</v>
      </c>
      <c r="J58" s="65">
        <v>38.61</v>
      </c>
      <c r="K58" s="55">
        <v>3375.01</v>
      </c>
      <c r="L58" s="31">
        <f t="shared" si="8"/>
        <v>3375.01</v>
      </c>
      <c r="M58" s="67">
        <f t="shared" si="9"/>
        <v>0</v>
      </c>
    </row>
    <row r="59" spans="1:15" x14ac:dyDescent="0.3">
      <c r="A59" s="1"/>
      <c r="E59" s="54">
        <v>4</v>
      </c>
      <c r="F59" s="53" t="s">
        <v>44</v>
      </c>
      <c r="G59" s="5">
        <v>1419.6</v>
      </c>
      <c r="I59" s="65">
        <v>177.9</v>
      </c>
      <c r="J59" s="65">
        <v>12.88</v>
      </c>
      <c r="K59" s="55">
        <v>1610.38</v>
      </c>
      <c r="L59" s="31">
        <f t="shared" si="8"/>
        <v>1610.38</v>
      </c>
      <c r="M59" s="67">
        <f t="shared" si="9"/>
        <v>0</v>
      </c>
    </row>
    <row r="60" spans="1:15" x14ac:dyDescent="0.3">
      <c r="A60" s="1"/>
      <c r="B60" s="1"/>
      <c r="E60" s="54">
        <v>5</v>
      </c>
      <c r="F60" s="53" t="s">
        <v>45</v>
      </c>
      <c r="G60" s="5">
        <v>5921.29</v>
      </c>
      <c r="I60" s="65">
        <v>400.26</v>
      </c>
      <c r="J60" s="65">
        <v>77.22</v>
      </c>
      <c r="K60" s="55">
        <v>6398.77</v>
      </c>
      <c r="L60" s="31">
        <f t="shared" si="8"/>
        <v>6398.77</v>
      </c>
      <c r="M60" s="67">
        <f t="shared" si="9"/>
        <v>0</v>
      </c>
    </row>
    <row r="61" spans="1:15" x14ac:dyDescent="0.3">
      <c r="A61" s="1"/>
      <c r="B61" s="1"/>
      <c r="E61" s="54">
        <v>6</v>
      </c>
      <c r="F61" s="53" t="s">
        <v>46</v>
      </c>
      <c r="G61" s="5">
        <v>767.42</v>
      </c>
      <c r="I61" s="65">
        <v>177.92</v>
      </c>
      <c r="J61" s="65">
        <v>25.76</v>
      </c>
      <c r="K61" s="55">
        <v>971.1</v>
      </c>
      <c r="L61" s="31">
        <f t="shared" si="8"/>
        <v>971.09999999999991</v>
      </c>
      <c r="M61" s="67">
        <f t="shared" si="9"/>
        <v>0</v>
      </c>
    </row>
    <row r="62" spans="1:15" x14ac:dyDescent="0.3">
      <c r="A62" s="1"/>
      <c r="B62" s="1"/>
      <c r="E62" s="54">
        <v>7</v>
      </c>
      <c r="F62" s="53" t="s">
        <v>47</v>
      </c>
      <c r="G62" s="5">
        <v>886.28</v>
      </c>
      <c r="I62" s="65">
        <v>222.45</v>
      </c>
      <c r="J62" s="65">
        <v>32.200000000000003</v>
      </c>
      <c r="K62" s="55">
        <v>1140.93</v>
      </c>
      <c r="L62" s="31">
        <f t="shared" si="8"/>
        <v>1140.93</v>
      </c>
      <c r="M62" s="67">
        <f t="shared" si="9"/>
        <v>0</v>
      </c>
    </row>
    <row r="63" spans="1:15" x14ac:dyDescent="0.3">
      <c r="A63" s="1"/>
      <c r="B63" s="1"/>
      <c r="E63" s="54">
        <v>8</v>
      </c>
      <c r="F63" s="53" t="s">
        <v>48</v>
      </c>
      <c r="G63" s="5">
        <v>764.96</v>
      </c>
      <c r="I63" s="65">
        <v>66.72</v>
      </c>
      <c r="J63" s="65">
        <v>0</v>
      </c>
      <c r="K63" s="55">
        <v>831.68</v>
      </c>
      <c r="L63" s="31">
        <f t="shared" si="8"/>
        <v>831.68000000000006</v>
      </c>
      <c r="M63" s="67">
        <f t="shared" si="9"/>
        <v>0</v>
      </c>
    </row>
    <row r="64" spans="1:15" x14ac:dyDescent="0.3">
      <c r="A64" s="1"/>
      <c r="B64" s="1"/>
      <c r="E64" s="54">
        <v>9</v>
      </c>
      <c r="F64" s="53" t="s">
        <v>49</v>
      </c>
      <c r="G64" s="5">
        <v>405.53</v>
      </c>
      <c r="I64" s="65">
        <v>44.48</v>
      </c>
      <c r="J64" s="65">
        <v>0</v>
      </c>
      <c r="K64" s="55">
        <v>450.01</v>
      </c>
      <c r="L64" s="31">
        <f t="shared" si="8"/>
        <v>450.01</v>
      </c>
      <c r="M64" s="67">
        <f t="shared" si="9"/>
        <v>0</v>
      </c>
    </row>
    <row r="65" spans="1:24" x14ac:dyDescent="0.3">
      <c r="A65" s="1"/>
      <c r="B65" s="1"/>
      <c r="E65" s="54">
        <v>10</v>
      </c>
      <c r="F65" s="53" t="s">
        <v>50</v>
      </c>
      <c r="G65" s="5">
        <v>525.88</v>
      </c>
      <c r="I65" s="65">
        <v>44.48</v>
      </c>
      <c r="J65" s="65">
        <v>0</v>
      </c>
      <c r="K65" s="55">
        <v>570.76</v>
      </c>
      <c r="L65" s="31">
        <f t="shared" si="8"/>
        <v>570.36</v>
      </c>
      <c r="M65" s="67">
        <f t="shared" si="9"/>
        <v>0.39999999999997726</v>
      </c>
    </row>
    <row r="66" spans="1:24" x14ac:dyDescent="0.3">
      <c r="A66" s="1"/>
      <c r="B66" s="1"/>
      <c r="E66" s="54">
        <v>11</v>
      </c>
      <c r="F66" s="53" t="s">
        <v>51</v>
      </c>
      <c r="G66" s="5">
        <v>161.44</v>
      </c>
      <c r="I66" s="65">
        <v>44.48</v>
      </c>
      <c r="J66" s="65">
        <v>0</v>
      </c>
      <c r="K66" s="55">
        <v>206.32</v>
      </c>
      <c r="L66" s="31">
        <f t="shared" si="8"/>
        <v>205.92</v>
      </c>
      <c r="M66" s="67">
        <f t="shared" si="9"/>
        <v>0.40000000000000568</v>
      </c>
    </row>
    <row r="67" spans="1:24" x14ac:dyDescent="0.3">
      <c r="A67" s="1"/>
      <c r="B67" s="1"/>
      <c r="E67" s="54">
        <v>12</v>
      </c>
      <c r="F67" s="53" t="s">
        <v>52</v>
      </c>
      <c r="G67" s="5">
        <v>1000</v>
      </c>
      <c r="I67" s="65">
        <v>0</v>
      </c>
      <c r="J67" s="65">
        <v>0</v>
      </c>
      <c r="K67" s="55">
        <v>1000</v>
      </c>
      <c r="L67" s="31">
        <f t="shared" si="8"/>
        <v>1000</v>
      </c>
      <c r="M67" s="67">
        <f t="shared" si="9"/>
        <v>0</v>
      </c>
    </row>
    <row r="68" spans="1:24" x14ac:dyDescent="0.3">
      <c r="A68" s="1"/>
      <c r="B68" s="1"/>
      <c r="E68" s="54">
        <v>13</v>
      </c>
      <c r="F68" s="53" t="s">
        <v>53</v>
      </c>
      <c r="G68" s="5">
        <v>1125</v>
      </c>
      <c r="I68" s="65">
        <v>0</v>
      </c>
      <c r="J68" s="65">
        <v>0</v>
      </c>
      <c r="K68" s="55">
        <v>1125</v>
      </c>
      <c r="L68" s="31">
        <f t="shared" si="8"/>
        <v>1125</v>
      </c>
      <c r="M68" s="67">
        <f t="shared" si="9"/>
        <v>0</v>
      </c>
    </row>
    <row r="69" spans="1:24" x14ac:dyDescent="0.3">
      <c r="A69" s="1"/>
      <c r="B69" s="1"/>
      <c r="E69" s="54">
        <v>14</v>
      </c>
      <c r="F69" s="53" t="s">
        <v>53</v>
      </c>
      <c r="G69" s="5">
        <v>8591.1299999999992</v>
      </c>
      <c r="I69" s="64">
        <v>266.88</v>
      </c>
      <c r="J69" s="64">
        <v>77.22</v>
      </c>
      <c r="K69" s="55">
        <v>8935.23</v>
      </c>
      <c r="L69" s="31">
        <f t="shared" si="8"/>
        <v>8935.2299999999977</v>
      </c>
      <c r="M69" s="67">
        <f t="shared" si="9"/>
        <v>0</v>
      </c>
    </row>
    <row r="70" spans="1:24" ht="17.25" thickBot="1" x14ac:dyDescent="0.35">
      <c r="A70" s="1"/>
      <c r="B70" s="1"/>
      <c r="E70" s="54">
        <v>15</v>
      </c>
      <c r="F70" s="53" t="s">
        <v>54</v>
      </c>
      <c r="G70" s="5">
        <v>933.51</v>
      </c>
      <c r="I70" s="64">
        <v>0</v>
      </c>
      <c r="J70" s="64">
        <v>0</v>
      </c>
      <c r="K70" s="55">
        <v>933.51</v>
      </c>
      <c r="L70" s="31">
        <f t="shared" si="8"/>
        <v>933.51</v>
      </c>
      <c r="M70" s="67">
        <f t="shared" si="9"/>
        <v>0</v>
      </c>
    </row>
    <row r="71" spans="1:24" x14ac:dyDescent="0.3">
      <c r="A71" s="1"/>
      <c r="B71" s="1"/>
      <c r="E71" s="54">
        <v>16</v>
      </c>
      <c r="F71" s="53" t="s">
        <v>55</v>
      </c>
      <c r="G71" s="5">
        <v>8370.02</v>
      </c>
      <c r="I71" s="64">
        <v>225.13</v>
      </c>
      <c r="J71" s="64">
        <v>51.48</v>
      </c>
      <c r="K71" s="55">
        <v>8646.6299999999992</v>
      </c>
      <c r="L71" s="31">
        <f t="shared" si="8"/>
        <v>8646.6299999999992</v>
      </c>
      <c r="M71" s="67">
        <f t="shared" si="9"/>
        <v>0</v>
      </c>
      <c r="R71" s="85" t="s">
        <v>70</v>
      </c>
      <c r="S71" s="85" t="s">
        <v>22</v>
      </c>
      <c r="T71" s="85" t="s">
        <v>71</v>
      </c>
      <c r="U71" s="85" t="s">
        <v>72</v>
      </c>
      <c r="V71" s="85" t="s">
        <v>73</v>
      </c>
      <c r="W71" s="85" t="s">
        <v>74</v>
      </c>
      <c r="X71" s="75" t="s">
        <v>75</v>
      </c>
    </row>
    <row r="72" spans="1:24" x14ac:dyDescent="0.3">
      <c r="A72" s="1"/>
      <c r="B72" s="1"/>
      <c r="E72" s="54">
        <v>17</v>
      </c>
      <c r="F72" s="53" t="s">
        <v>56</v>
      </c>
      <c r="G72" s="5">
        <v>204.6</v>
      </c>
      <c r="I72" s="64">
        <v>0</v>
      </c>
      <c r="J72" s="64">
        <v>0</v>
      </c>
      <c r="K72" s="55">
        <v>204.6</v>
      </c>
      <c r="L72" s="31">
        <f t="shared" si="8"/>
        <v>204.6</v>
      </c>
      <c r="M72" s="67">
        <f t="shared" si="9"/>
        <v>0</v>
      </c>
      <c r="R72" s="86"/>
      <c r="S72" s="86"/>
      <c r="T72" s="86"/>
      <c r="U72" s="86"/>
      <c r="V72" s="86"/>
      <c r="W72" s="86"/>
      <c r="X72" s="76" t="s">
        <v>76</v>
      </c>
    </row>
    <row r="73" spans="1:24" ht="17.25" thickBot="1" x14ac:dyDescent="0.35">
      <c r="A73" s="1"/>
      <c r="B73" s="1"/>
      <c r="E73" s="54">
        <v>1</v>
      </c>
      <c r="F73" s="53" t="s">
        <v>57</v>
      </c>
      <c r="G73" s="5">
        <v>1500</v>
      </c>
      <c r="I73" s="64">
        <v>0</v>
      </c>
      <c r="J73" s="64">
        <v>0</v>
      </c>
      <c r="K73" s="55">
        <v>1500</v>
      </c>
      <c r="L73" s="31">
        <f t="shared" si="8"/>
        <v>1500</v>
      </c>
      <c r="M73" s="67">
        <f t="shared" si="9"/>
        <v>0</v>
      </c>
      <c r="R73" s="87"/>
      <c r="S73" s="87"/>
      <c r="T73" s="87"/>
      <c r="U73" s="87"/>
      <c r="V73" s="87"/>
      <c r="W73" s="87"/>
      <c r="X73" s="77" t="s">
        <v>77</v>
      </c>
    </row>
    <row r="74" spans="1:24" ht="66.75" thickBot="1" x14ac:dyDescent="0.35">
      <c r="A74" s="1"/>
      <c r="B74" s="1"/>
      <c r="E74" s="54">
        <v>8</v>
      </c>
      <c r="F74" s="53" t="s">
        <v>58</v>
      </c>
      <c r="G74" s="5">
        <v>2500</v>
      </c>
      <c r="I74" s="64">
        <v>0</v>
      </c>
      <c r="J74" s="64">
        <v>0</v>
      </c>
      <c r="K74" s="55">
        <v>2500</v>
      </c>
      <c r="L74" s="31">
        <f t="shared" si="8"/>
        <v>2500</v>
      </c>
      <c r="M74" s="67">
        <f t="shared" si="9"/>
        <v>0</v>
      </c>
      <c r="R74" s="78" t="s">
        <v>78</v>
      </c>
      <c r="S74" s="79" t="s">
        <v>41</v>
      </c>
      <c r="T74" s="80">
        <v>294.16000000000003</v>
      </c>
      <c r="U74" s="80">
        <v>0</v>
      </c>
      <c r="V74" s="80">
        <v>46.48</v>
      </c>
      <c r="W74" s="80">
        <v>0</v>
      </c>
      <c r="X74" s="80">
        <v>340.64</v>
      </c>
    </row>
    <row r="75" spans="1:24" ht="33.75" thickBot="1" x14ac:dyDescent="0.35">
      <c r="A75" s="1"/>
      <c r="B75" s="1"/>
      <c r="E75" s="54">
        <v>19</v>
      </c>
      <c r="F75" s="53" t="s">
        <v>59</v>
      </c>
      <c r="G75" s="5">
        <v>3796</v>
      </c>
      <c r="I75" s="64">
        <v>0</v>
      </c>
      <c r="J75" s="64">
        <v>0</v>
      </c>
      <c r="K75" s="55">
        <v>3796</v>
      </c>
      <c r="L75" s="31">
        <f t="shared" si="8"/>
        <v>3796</v>
      </c>
      <c r="M75" s="67">
        <f t="shared" si="9"/>
        <v>0</v>
      </c>
      <c r="R75" s="81">
        <v>45304</v>
      </c>
      <c r="S75" s="79" t="s">
        <v>43</v>
      </c>
      <c r="T75" s="82">
        <v>3202.96</v>
      </c>
      <c r="U75" s="80">
        <v>210.4</v>
      </c>
      <c r="V75" s="80">
        <v>133.44</v>
      </c>
      <c r="W75" s="80">
        <v>38.61</v>
      </c>
      <c r="X75" s="82">
        <v>3375.01</v>
      </c>
    </row>
    <row r="76" spans="1:24" ht="17.25" thickBot="1" x14ac:dyDescent="0.35">
      <c r="A76" s="1"/>
      <c r="B76" s="1"/>
      <c r="E76" s="54">
        <v>20</v>
      </c>
      <c r="F76" s="53" t="s">
        <v>60</v>
      </c>
      <c r="G76" s="5">
        <v>2008.46</v>
      </c>
      <c r="I76" s="64">
        <v>0</v>
      </c>
      <c r="J76" s="64">
        <v>0</v>
      </c>
      <c r="K76" s="55">
        <v>2008.46</v>
      </c>
      <c r="L76" s="31">
        <f t="shared" si="8"/>
        <v>2008.46</v>
      </c>
      <c r="M76" s="67">
        <f t="shared" si="9"/>
        <v>0</v>
      </c>
      <c r="R76" s="78"/>
      <c r="S76" s="83" t="s">
        <v>79</v>
      </c>
      <c r="T76" s="82">
        <f>SUM(T74:T75)</f>
        <v>3497.12</v>
      </c>
      <c r="U76" s="82">
        <f>SUM(U74:U75)</f>
        <v>210.4</v>
      </c>
      <c r="V76" s="82">
        <f>SUM(V74:V75)</f>
        <v>179.92</v>
      </c>
      <c r="W76" s="80">
        <f>SUM(W74:W75)</f>
        <v>38.61</v>
      </c>
      <c r="X76" s="84">
        <f>SUM(X74:X75)</f>
        <v>3715.65</v>
      </c>
    </row>
    <row r="77" spans="1:24" x14ac:dyDescent="0.3">
      <c r="A77" s="1"/>
      <c r="B77" s="1"/>
      <c r="E77" s="51"/>
      <c r="F77" s="50"/>
      <c r="G77" s="5">
        <f>SUM(G56:G76)</f>
        <v>50934.169999999991</v>
      </c>
      <c r="I77" s="66">
        <f>SUM(I56:I76)</f>
        <v>2117.4600000000005</v>
      </c>
      <c r="J77" s="66">
        <f>SUM(J56:J76)</f>
        <v>392.61</v>
      </c>
      <c r="K77" s="56">
        <f>SUM(K56:K76)</f>
        <v>53445.039999999994</v>
      </c>
      <c r="L77" s="31">
        <f t="shared" si="8"/>
        <v>53444.239999999991</v>
      </c>
    </row>
    <row r="78" spans="1:24" x14ac:dyDescent="0.3">
      <c r="A78" s="1"/>
      <c r="B78" s="1"/>
      <c r="F78" s="30"/>
      <c r="G78" s="30"/>
      <c r="H78" s="30"/>
      <c r="I78" s="30"/>
    </row>
    <row r="79" spans="1:24" x14ac:dyDescent="0.3">
      <c r="A79" s="1"/>
      <c r="B79" s="1"/>
      <c r="F79" s="30"/>
      <c r="G79" s="30"/>
      <c r="H79" s="30"/>
      <c r="I79" s="30"/>
    </row>
    <row r="80" spans="1:24" x14ac:dyDescent="0.3">
      <c r="A80" s="1"/>
      <c r="B80" s="1"/>
    </row>
    <row r="81" spans="1:15" x14ac:dyDescent="0.3">
      <c r="A81" s="1"/>
      <c r="B81" s="1"/>
    </row>
    <row r="82" spans="1:15" x14ac:dyDescent="0.3">
      <c r="A82" s="1"/>
      <c r="B82" s="1"/>
    </row>
    <row r="83" spans="1:15" x14ac:dyDescent="0.3">
      <c r="A83" s="1"/>
      <c r="B83" s="1"/>
    </row>
    <row r="84" spans="1:15" x14ac:dyDescent="0.3">
      <c r="A84" s="1"/>
      <c r="B84" s="1"/>
    </row>
    <row r="85" spans="1:15" x14ac:dyDescent="0.3">
      <c r="A85" s="1"/>
      <c r="B85" s="1"/>
      <c r="F85" s="32"/>
      <c r="K85" s="70" t="s">
        <v>63</v>
      </c>
      <c r="L85" s="70"/>
      <c r="M85" s="70"/>
      <c r="N85" s="70"/>
      <c r="O85" s="70"/>
    </row>
    <row r="86" spans="1:15" x14ac:dyDescent="0.3">
      <c r="A86" s="1"/>
      <c r="B86" s="1"/>
      <c r="F86" s="32"/>
      <c r="K86" s="70" t="s">
        <v>22</v>
      </c>
      <c r="L86" s="70" t="s">
        <v>64</v>
      </c>
      <c r="M86" s="70" t="s">
        <v>65</v>
      </c>
      <c r="N86" s="70" t="s">
        <v>66</v>
      </c>
      <c r="O86" s="70" t="s">
        <v>67</v>
      </c>
    </row>
    <row r="87" spans="1:15" x14ac:dyDescent="0.3">
      <c r="A87" s="1"/>
      <c r="B87" s="1"/>
      <c r="F87" s="32"/>
      <c r="K87" s="71" t="s">
        <v>68</v>
      </c>
      <c r="L87" s="72">
        <v>180024000</v>
      </c>
      <c r="M87" s="72">
        <v>62951797</v>
      </c>
      <c r="N87" s="72">
        <v>203600000</v>
      </c>
      <c r="O87" s="73">
        <f>L87+M87+N87</f>
        <v>446575797</v>
      </c>
    </row>
    <row r="88" spans="1:15" ht="30.75" x14ac:dyDescent="0.3">
      <c r="A88" s="1"/>
      <c r="B88" s="1"/>
      <c r="F88" s="32"/>
      <c r="K88" s="74" t="s">
        <v>8</v>
      </c>
      <c r="L88" s="72">
        <f>MROUND(L87*0.85,1)</f>
        <v>153020400</v>
      </c>
      <c r="M88" s="72">
        <f>MROUND(M87*0.85,1)</f>
        <v>53509027</v>
      </c>
      <c r="N88" s="72">
        <v>173000000</v>
      </c>
      <c r="O88" s="73">
        <f>L88+M88+N88</f>
        <v>379529427</v>
      </c>
    </row>
    <row r="89" spans="1:15" x14ac:dyDescent="0.3">
      <c r="A89" s="1"/>
      <c r="B89" s="1"/>
      <c r="F89" s="32"/>
      <c r="K89" s="74" t="s">
        <v>9</v>
      </c>
      <c r="L89" s="72">
        <f>MROUND(L87*0.7,1)</f>
        <v>126016800</v>
      </c>
      <c r="M89" s="72">
        <f>MROUND(M87*0.7,1)</f>
        <v>44066258</v>
      </c>
      <c r="N89" s="72">
        <v>142500000</v>
      </c>
      <c r="O89" s="73">
        <f>L89+M89+N89</f>
        <v>312583058</v>
      </c>
    </row>
    <row r="90" spans="1:15" x14ac:dyDescent="0.3">
      <c r="A90" s="1"/>
      <c r="B90" s="1"/>
      <c r="F90" s="32"/>
      <c r="K90" s="71"/>
      <c r="L90" s="71"/>
      <c r="M90" s="71"/>
      <c r="N90" s="71"/>
      <c r="O90" s="71"/>
    </row>
    <row r="91" spans="1:15" x14ac:dyDescent="0.3">
      <c r="A91" s="1"/>
      <c r="B91" s="1"/>
      <c r="F91" s="32"/>
      <c r="K91" s="70" t="s">
        <v>69</v>
      </c>
      <c r="L91" s="71"/>
      <c r="M91" s="71"/>
      <c r="N91" s="71"/>
      <c r="O91" s="71"/>
    </row>
    <row r="92" spans="1:15" x14ac:dyDescent="0.3">
      <c r="A92" s="1"/>
      <c r="B92" s="1"/>
      <c r="F92" s="32"/>
      <c r="K92" s="70" t="s">
        <v>22</v>
      </c>
      <c r="L92" s="70" t="s">
        <v>64</v>
      </c>
      <c r="M92" s="70" t="s">
        <v>65</v>
      </c>
      <c r="N92" s="70" t="s">
        <v>66</v>
      </c>
      <c r="O92" s="70" t="s">
        <v>67</v>
      </c>
    </row>
    <row r="93" spans="1:15" x14ac:dyDescent="0.3">
      <c r="A93" s="1"/>
      <c r="B93" s="1"/>
      <c r="F93" s="32"/>
      <c r="K93" s="71" t="s">
        <v>68</v>
      </c>
      <c r="L93" s="72">
        <v>1563670000</v>
      </c>
      <c r="M93" s="72">
        <v>21290814</v>
      </c>
      <c r="N93" s="72">
        <v>1533600000</v>
      </c>
      <c r="O93" s="73">
        <f>L93+M93+N93</f>
        <v>3118560814</v>
      </c>
    </row>
    <row r="94" spans="1:15" ht="30.75" x14ac:dyDescent="0.3">
      <c r="A94" s="1"/>
      <c r="B94" s="1"/>
      <c r="F94" s="32"/>
      <c r="K94" s="74" t="s">
        <v>8</v>
      </c>
      <c r="L94" s="72">
        <f>MROUND(L93*0.85,1)</f>
        <v>1329119500</v>
      </c>
      <c r="M94" s="72">
        <f>MROUND(M93*0.85,1)</f>
        <v>18097192</v>
      </c>
      <c r="N94" s="72">
        <v>1303500000</v>
      </c>
      <c r="O94" s="73">
        <f>L94+M94+N94</f>
        <v>2650716692</v>
      </c>
    </row>
    <row r="95" spans="1:15" x14ac:dyDescent="0.3">
      <c r="A95" s="1"/>
      <c r="B95" s="1"/>
      <c r="K95" s="74" t="s">
        <v>9</v>
      </c>
      <c r="L95" s="72">
        <f>MROUND(L93*0.7,1)</f>
        <v>1094569000</v>
      </c>
      <c r="M95" s="72">
        <f>MROUND(M93*0.7,1)</f>
        <v>14903570</v>
      </c>
      <c r="N95" s="72">
        <v>1380200000</v>
      </c>
      <c r="O95" s="73">
        <f>L95+M95+N95</f>
        <v>2489672570</v>
      </c>
    </row>
    <row r="96" spans="1:15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  <row r="175" spans="1:2" x14ac:dyDescent="0.3">
      <c r="A175" s="1"/>
      <c r="B175" s="1"/>
    </row>
    <row r="176" spans="1:2" x14ac:dyDescent="0.3">
      <c r="A176" s="1"/>
      <c r="B176" s="1"/>
    </row>
    <row r="177" spans="1:2" x14ac:dyDescent="0.3">
      <c r="A177" s="1"/>
      <c r="B177" s="1"/>
    </row>
    <row r="178" spans="1:2" x14ac:dyDescent="0.3">
      <c r="A178" s="1"/>
      <c r="B178" s="1"/>
    </row>
    <row r="179" spans="1:2" x14ac:dyDescent="0.3">
      <c r="A179" s="1"/>
      <c r="B179" s="1"/>
    </row>
    <row r="180" spans="1:2" x14ac:dyDescent="0.3">
      <c r="A180" s="1"/>
      <c r="B180" s="1"/>
    </row>
    <row r="181" spans="1:2" x14ac:dyDescent="0.3">
      <c r="A181" s="1"/>
      <c r="B181" s="1"/>
    </row>
    <row r="182" spans="1:2" x14ac:dyDescent="0.3">
      <c r="A182" s="1"/>
      <c r="B182" s="1"/>
    </row>
    <row r="183" spans="1:2" x14ac:dyDescent="0.3">
      <c r="A183" s="1"/>
      <c r="B183" s="1"/>
    </row>
    <row r="184" spans="1:2" x14ac:dyDescent="0.3">
      <c r="A184" s="1"/>
      <c r="B184" s="1"/>
    </row>
    <row r="185" spans="1:2" x14ac:dyDescent="0.3">
      <c r="A185" s="1"/>
      <c r="B185" s="1"/>
    </row>
  </sheetData>
  <mergeCells count="8">
    <mergeCell ref="U71:U73"/>
    <mergeCell ref="V71:V73"/>
    <mergeCell ref="W71:W73"/>
    <mergeCell ref="B31:C31"/>
    <mergeCell ref="B36:C36"/>
    <mergeCell ref="R71:R73"/>
    <mergeCell ref="S71:S73"/>
    <mergeCell ref="T71:T7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F82E-5880-4D5C-A33F-ED9483E65D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3B3D9-89B5-4FED-A918-455CE63D05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02AAC-9ADA-47C2-996A-961B5343FB3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BCD33-EFD0-479E-A446-E0057FA754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CA411-E8BE-4067-9EE6-95BFF8A1D8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9039-24E5-485C-8527-B4E68CA7A7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Valuation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2024-04-08T10:26:09Z</dcterms:modified>
</cp:coreProperties>
</file>