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Making Cases\Bharat Realty Ventures Pvt. Ltd. - Andheri (W)\"/>
    </mc:Choice>
  </mc:AlternateContent>
  <xr:revisionPtr revIDLastSave="0" documentId="13_ncr:1_{917AAB07-B7A2-4EB2-9DBC-D940DAB9404F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Carpet Area" sheetId="2" r:id="rId1"/>
    <sheet name="Built  up area" sheetId="3" r:id="rId2"/>
    <sheet name="Revised" sheetId="11" r:id="rId3"/>
    <sheet name="Sheet2" sheetId="4" r:id="rId4"/>
    <sheet name="Sheet3" sheetId="5" r:id="rId5"/>
    <sheet name="Sheet4" sheetId="6" r:id="rId6"/>
    <sheet name="Sheet5" sheetId="7" r:id="rId7"/>
    <sheet name="Sheet6" sheetId="8" r:id="rId8"/>
    <sheet name="Sheet7" sheetId="9" r:id="rId9"/>
    <sheet name="Sheet8" sheetId="10" r:id="rId10"/>
  </sheets>
  <calcPr calcId="191029"/>
</workbook>
</file>

<file path=xl/calcChain.xml><?xml version="1.0" encoding="utf-8"?>
<calcChain xmlns="http://schemas.openxmlformats.org/spreadsheetml/2006/main">
  <c r="C36" i="11" l="1"/>
  <c r="C16" i="11"/>
  <c r="C26" i="11"/>
  <c r="C32" i="11" s="1"/>
  <c r="C21" i="11"/>
  <c r="C31" i="11" s="1"/>
  <c r="O15" i="11"/>
  <c r="H15" i="11"/>
  <c r="J15" i="11" s="1"/>
  <c r="K15" i="11" s="1"/>
  <c r="L15" i="11" s="1"/>
  <c r="N15" i="11" s="1"/>
  <c r="O14" i="11"/>
  <c r="H14" i="11"/>
  <c r="J14" i="11" s="1"/>
  <c r="K14" i="11" s="1"/>
  <c r="L14" i="11" s="1"/>
  <c r="N14" i="11" s="1"/>
  <c r="O13" i="11"/>
  <c r="H13" i="11"/>
  <c r="J13" i="11" s="1"/>
  <c r="K13" i="11" s="1"/>
  <c r="L13" i="11" s="1"/>
  <c r="N13" i="11" s="1"/>
  <c r="O12" i="11"/>
  <c r="H12" i="11"/>
  <c r="J12" i="11" s="1"/>
  <c r="K12" i="11" s="1"/>
  <c r="L12" i="11" s="1"/>
  <c r="N12" i="11" s="1"/>
  <c r="O11" i="11"/>
  <c r="H11" i="11"/>
  <c r="J11" i="11" s="1"/>
  <c r="K11" i="11" s="1"/>
  <c r="L11" i="11" s="1"/>
  <c r="N11" i="11" s="1"/>
  <c r="O10" i="11"/>
  <c r="H10" i="11"/>
  <c r="J10" i="11" s="1"/>
  <c r="K10" i="11" s="1"/>
  <c r="L10" i="11" s="1"/>
  <c r="N10" i="11" s="1"/>
  <c r="O9" i="11"/>
  <c r="H9" i="11"/>
  <c r="J9" i="11" s="1"/>
  <c r="K9" i="11" s="1"/>
  <c r="L9" i="11" s="1"/>
  <c r="N9" i="11" s="1"/>
  <c r="O8" i="11"/>
  <c r="H8" i="11"/>
  <c r="J8" i="11" s="1"/>
  <c r="K8" i="11" s="1"/>
  <c r="L8" i="11" s="1"/>
  <c r="N8" i="11" s="1"/>
  <c r="C4" i="11"/>
  <c r="C29" i="11" s="1"/>
  <c r="R3" i="11"/>
  <c r="I3" i="11"/>
  <c r="K2" i="11"/>
  <c r="J2" i="11"/>
  <c r="F2" i="11"/>
  <c r="B74" i="3"/>
  <c r="I94" i="3"/>
  <c r="I93" i="3"/>
  <c r="I92" i="3"/>
  <c r="I91" i="3"/>
  <c r="I90" i="3"/>
  <c r="J62" i="3"/>
  <c r="H66" i="3"/>
  <c r="H61" i="3"/>
  <c r="J45" i="3"/>
  <c r="J44" i="3"/>
  <c r="J43" i="3"/>
  <c r="J42" i="3"/>
  <c r="J41" i="3"/>
  <c r="J61" i="3"/>
  <c r="J60" i="3"/>
  <c r="J59" i="3"/>
  <c r="J58" i="3"/>
  <c r="G62" i="3"/>
  <c r="D89" i="3"/>
  <c r="J82" i="3"/>
  <c r="J81" i="3"/>
  <c r="J79" i="3"/>
  <c r="I82" i="3"/>
  <c r="I81" i="3"/>
  <c r="I80" i="3"/>
  <c r="I79" i="3"/>
  <c r="G66" i="3"/>
  <c r="E66" i="3"/>
  <c r="G65" i="3"/>
  <c r="E65" i="3"/>
  <c r="G61" i="3"/>
  <c r="G60" i="3"/>
  <c r="G59" i="3"/>
  <c r="G58" i="3"/>
  <c r="N56" i="3"/>
  <c r="N57" i="3" s="1"/>
  <c r="N53" i="3"/>
  <c r="M53" i="3"/>
  <c r="M56" i="3" s="1"/>
  <c r="M57" i="3" s="1"/>
  <c r="L53" i="3"/>
  <c r="L56" i="3" s="1"/>
  <c r="L57" i="3" s="1"/>
  <c r="G49" i="3"/>
  <c r="G48" i="3"/>
  <c r="E48" i="3"/>
  <c r="G47" i="3"/>
  <c r="E47" i="3"/>
  <c r="N46" i="3"/>
  <c r="G45" i="3"/>
  <c r="N44" i="3"/>
  <c r="L44" i="3"/>
  <c r="G44" i="3"/>
  <c r="E44" i="3"/>
  <c r="N43" i="3"/>
  <c r="L43" i="3"/>
  <c r="G43" i="3"/>
  <c r="E43" i="3"/>
  <c r="N42" i="3"/>
  <c r="L42" i="3"/>
  <c r="G42" i="3"/>
  <c r="N41" i="3"/>
  <c r="L41" i="3"/>
  <c r="L46" i="3" s="1"/>
  <c r="I41" i="3"/>
  <c r="G41" i="3"/>
  <c r="G50" i="3" s="1"/>
  <c r="E41" i="3"/>
  <c r="C32" i="3"/>
  <c r="M31" i="3"/>
  <c r="L31" i="3"/>
  <c r="J31" i="3"/>
  <c r="G31" i="3"/>
  <c r="P27" i="3"/>
  <c r="G27" i="3"/>
  <c r="N26" i="3"/>
  <c r="C26" i="3"/>
  <c r="C21" i="3"/>
  <c r="C31" i="3" s="1"/>
  <c r="O15" i="3"/>
  <c r="H15" i="3"/>
  <c r="J15" i="3" s="1"/>
  <c r="K15" i="3" s="1"/>
  <c r="L15" i="3" s="1"/>
  <c r="N15" i="3" s="1"/>
  <c r="O14" i="3"/>
  <c r="M14" i="3" s="1"/>
  <c r="H14" i="3"/>
  <c r="J14" i="3" s="1"/>
  <c r="K14" i="3" s="1"/>
  <c r="L14" i="3" s="1"/>
  <c r="N14" i="3" s="1"/>
  <c r="O13" i="3"/>
  <c r="H13" i="3"/>
  <c r="J13" i="3" s="1"/>
  <c r="K13" i="3" s="1"/>
  <c r="L13" i="3" s="1"/>
  <c r="N13" i="3" s="1"/>
  <c r="O12" i="3"/>
  <c r="M12" i="3" s="1"/>
  <c r="H12" i="3"/>
  <c r="J12" i="3" s="1"/>
  <c r="K12" i="3" s="1"/>
  <c r="L12" i="3" s="1"/>
  <c r="N12" i="3" s="1"/>
  <c r="O11" i="3"/>
  <c r="H11" i="3"/>
  <c r="J11" i="3" s="1"/>
  <c r="K11" i="3" s="1"/>
  <c r="L11" i="3" s="1"/>
  <c r="N11" i="3" s="1"/>
  <c r="O10" i="3"/>
  <c r="M10" i="3" s="1"/>
  <c r="H10" i="3"/>
  <c r="J10" i="3" s="1"/>
  <c r="K10" i="3" s="1"/>
  <c r="L10" i="3" s="1"/>
  <c r="N10" i="3" s="1"/>
  <c r="O9" i="3"/>
  <c r="H9" i="3"/>
  <c r="J9" i="3" s="1"/>
  <c r="K9" i="3" s="1"/>
  <c r="L9" i="3" s="1"/>
  <c r="N9" i="3" s="1"/>
  <c r="O8" i="3"/>
  <c r="O16" i="3" s="1"/>
  <c r="C36" i="3" s="1"/>
  <c r="C37" i="3" s="1"/>
  <c r="H8" i="3"/>
  <c r="J8" i="3" s="1"/>
  <c r="K8" i="3" s="1"/>
  <c r="L8" i="3" s="1"/>
  <c r="N8" i="3" s="1"/>
  <c r="C4" i="3"/>
  <c r="C29" i="3" s="1"/>
  <c r="I3" i="3"/>
  <c r="K2" i="3"/>
  <c r="J2" i="3"/>
  <c r="L2" i="3" s="1"/>
  <c r="F2" i="3"/>
  <c r="G41" i="2"/>
  <c r="G45" i="2"/>
  <c r="N44" i="2"/>
  <c r="N43" i="2"/>
  <c r="N42" i="2"/>
  <c r="N41" i="2"/>
  <c r="N46" i="2" s="1"/>
  <c r="L44" i="2"/>
  <c r="L43" i="2"/>
  <c r="L42" i="2"/>
  <c r="L41" i="2"/>
  <c r="L46" i="2" s="1"/>
  <c r="G49" i="2"/>
  <c r="G48" i="2"/>
  <c r="G47" i="2"/>
  <c r="G44" i="2"/>
  <c r="G43" i="2"/>
  <c r="G42" i="2"/>
  <c r="I41" i="2"/>
  <c r="E44" i="2"/>
  <c r="E43" i="2"/>
  <c r="E41" i="2"/>
  <c r="E48" i="2"/>
  <c r="E47" i="2"/>
  <c r="P27" i="2"/>
  <c r="M53" i="2"/>
  <c r="M56" i="2" s="1"/>
  <c r="M57" i="2" s="1"/>
  <c r="N53" i="2"/>
  <c r="N56" i="2" s="1"/>
  <c r="N57" i="2" s="1"/>
  <c r="L53" i="2"/>
  <c r="L56" i="2" s="1"/>
  <c r="L57" i="2" s="1"/>
  <c r="N26" i="2"/>
  <c r="L2" i="11" l="1"/>
  <c r="M15" i="11"/>
  <c r="O16" i="11"/>
  <c r="N16" i="11"/>
  <c r="L3" i="11" s="1"/>
  <c r="L4" i="11" s="1"/>
  <c r="M9" i="11"/>
  <c r="M11" i="11"/>
  <c r="M13" i="11"/>
  <c r="M10" i="11"/>
  <c r="M12" i="11"/>
  <c r="M14" i="11"/>
  <c r="I8" i="11"/>
  <c r="M8" i="11"/>
  <c r="I9" i="11"/>
  <c r="I10" i="11"/>
  <c r="I11" i="11"/>
  <c r="I12" i="11"/>
  <c r="I13" i="11"/>
  <c r="I14" i="11"/>
  <c r="I15" i="11"/>
  <c r="G68" i="3"/>
  <c r="G70" i="3" s="1"/>
  <c r="M9" i="3"/>
  <c r="M11" i="3"/>
  <c r="M13" i="3"/>
  <c r="M15" i="3"/>
  <c r="G51" i="3"/>
  <c r="R3" i="3"/>
  <c r="I53" i="3"/>
  <c r="I52" i="3"/>
  <c r="G52" i="3"/>
  <c r="N16" i="3"/>
  <c r="I8" i="3"/>
  <c r="M8" i="3"/>
  <c r="I9" i="3"/>
  <c r="I10" i="3"/>
  <c r="I11" i="3"/>
  <c r="I12" i="3"/>
  <c r="I13" i="3"/>
  <c r="I14" i="3"/>
  <c r="I15" i="3"/>
  <c r="G50" i="2"/>
  <c r="C30" i="11" l="1"/>
  <c r="C33" i="11" s="1"/>
  <c r="C35" i="11" s="1"/>
  <c r="M16" i="11"/>
  <c r="G69" i="3"/>
  <c r="C30" i="3"/>
  <c r="C33" i="3" s="1"/>
  <c r="L3" i="3"/>
  <c r="L4" i="3" s="1"/>
  <c r="M16" i="3"/>
  <c r="P3" i="2"/>
  <c r="G51" i="2"/>
  <c r="I53" i="2"/>
  <c r="G52" i="2"/>
  <c r="I52" i="2"/>
  <c r="G27" i="2"/>
  <c r="G31" i="2" s="1"/>
  <c r="L31" i="2"/>
  <c r="M31" i="2"/>
  <c r="J31" i="2"/>
  <c r="F2" i="2"/>
  <c r="I3" i="2"/>
  <c r="K2" i="2" s="1"/>
  <c r="O8" i="2"/>
  <c r="H8" i="2"/>
  <c r="J8" i="2" s="1"/>
  <c r="K8" i="2" s="1"/>
  <c r="L8" i="2" s="1"/>
  <c r="N8" i="2" s="1"/>
  <c r="O11" i="2"/>
  <c r="H11" i="2"/>
  <c r="J11" i="2" s="1"/>
  <c r="K11" i="2" s="1"/>
  <c r="L11" i="2" s="1"/>
  <c r="N11" i="2" s="1"/>
  <c r="O10" i="2"/>
  <c r="H10" i="2"/>
  <c r="J10" i="2" s="1"/>
  <c r="K10" i="2" s="1"/>
  <c r="L10" i="2" s="1"/>
  <c r="N10" i="2" s="1"/>
  <c r="O9" i="2"/>
  <c r="H9" i="2"/>
  <c r="J9" i="2" s="1"/>
  <c r="K9" i="2" s="1"/>
  <c r="L9" i="2" s="1"/>
  <c r="N9" i="2" s="1"/>
  <c r="P4" i="11" l="1"/>
  <c r="R4" i="11" s="1"/>
  <c r="P2" i="11"/>
  <c r="R2" i="11" s="1"/>
  <c r="C34" i="11"/>
  <c r="C35" i="3"/>
  <c r="P4" i="3"/>
  <c r="R4" i="3" s="1"/>
  <c r="P2" i="3"/>
  <c r="R2" i="3" s="1"/>
  <c r="C34" i="3"/>
  <c r="I9" i="2"/>
  <c r="M8" i="2"/>
  <c r="I10" i="2"/>
  <c r="I11" i="2"/>
  <c r="I8" i="2"/>
  <c r="M9" i="2"/>
  <c r="M10" i="2"/>
  <c r="M11" i="2"/>
  <c r="C26" i="2" l="1"/>
  <c r="C32" i="2" s="1"/>
  <c r="C21" i="2"/>
  <c r="C31" i="2" s="1"/>
  <c r="O15" i="2"/>
  <c r="J15" i="2"/>
  <c r="K15" i="2" s="1"/>
  <c r="L15" i="2" s="1"/>
  <c r="N15" i="2" s="1"/>
  <c r="H15" i="2"/>
  <c r="I15" i="2" s="1"/>
  <c r="O14" i="2"/>
  <c r="H14" i="2"/>
  <c r="O13" i="2"/>
  <c r="H13" i="2"/>
  <c r="I13" i="2" s="1"/>
  <c r="O12" i="2"/>
  <c r="H12" i="2"/>
  <c r="C4" i="2"/>
  <c r="C29" i="2" s="1"/>
  <c r="J2" i="2"/>
  <c r="L2" i="2" s="1"/>
  <c r="M15" i="2" l="1"/>
  <c r="J13" i="2"/>
  <c r="K13" i="2" s="1"/>
  <c r="L13" i="2" s="1"/>
  <c r="N13" i="2" s="1"/>
  <c r="M13" i="2" s="1"/>
  <c r="J12" i="2"/>
  <c r="K12" i="2" s="1"/>
  <c r="L12" i="2" s="1"/>
  <c r="N12" i="2" s="1"/>
  <c r="I12" i="2"/>
  <c r="J14" i="2"/>
  <c r="K14" i="2" s="1"/>
  <c r="L14" i="2" s="1"/>
  <c r="N14" i="2" s="1"/>
  <c r="M14" i="2" s="1"/>
  <c r="I14" i="2"/>
  <c r="O16" i="2"/>
  <c r="C36" i="2" s="1"/>
  <c r="C37" i="2" s="1"/>
  <c r="N16" i="2" l="1"/>
  <c r="C30" i="2" s="1"/>
  <c r="C33" i="2" s="1"/>
  <c r="M12" i="2"/>
  <c r="M16" i="2"/>
  <c r="L3" i="2"/>
  <c r="L4" i="2" s="1"/>
  <c r="P4" i="2" l="1"/>
  <c r="C35" i="2"/>
  <c r="R4" i="2"/>
  <c r="P2" i="2"/>
  <c r="R2" i="2" s="1"/>
  <c r="C34" i="2"/>
  <c r="R3" i="2" s="1"/>
</calcChain>
</file>

<file path=xl/sharedStrings.xml><?xml version="1.0" encoding="utf-8"?>
<sst xmlns="http://schemas.openxmlformats.org/spreadsheetml/2006/main" count="368" uniqueCount="117">
  <si>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</si>
  <si>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</si>
  <si>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</si>
  <si>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</si>
  <si>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</si>
  <si>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</si>
  <si>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</si>
  <si>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</si>
  <si>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</si>
  <si>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</si>
  <si>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</si>
  <si>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</si>
  <si>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</si>
  <si>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</si>
  <si>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</si>
  <si>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</si>
  <si>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</si>
  <si>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</si>
  <si>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</si>
  <si>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</si>
  <si>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</si>
  <si>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</si>
  <si>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Normal Case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</si>
  <si>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</si>
  <si>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</si>
  <si>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</si>
  <si>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</si>
  <si>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</si>
  <si>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</si>
  <si>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</si>
  <si>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</si>
  <si>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</si>
  <si>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</si>
  <si>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Residential</t>
  </si>
  <si>
    <t>Property Value</t>
  </si>
  <si>
    <t>Commercial</t>
  </si>
  <si>
    <t>Industrial</t>
  </si>
  <si>
    <t>Government rate</t>
  </si>
  <si>
    <t xml:space="preserve">Sq. M. </t>
  </si>
  <si>
    <t>Sq. Ft.</t>
  </si>
  <si>
    <t>Net Insurable Value</t>
  </si>
  <si>
    <t>Full Value</t>
  </si>
  <si>
    <t>(Sq. M. / Sq. Ft.)</t>
  </si>
  <si>
    <t>Sq. M. / Sq. Ft.</t>
  </si>
  <si>
    <t>1st Basement Floor</t>
  </si>
  <si>
    <t>Ground Floor</t>
  </si>
  <si>
    <t>First Floor</t>
  </si>
  <si>
    <t>2nd Floor</t>
  </si>
  <si>
    <t>3rd Floor (Lobby)</t>
  </si>
  <si>
    <t>Area in Sq. Ft.</t>
  </si>
  <si>
    <t>Additional Area in Sq. Ft.</t>
  </si>
  <si>
    <t>Total Area in Sq. Ft.</t>
  </si>
  <si>
    <t xml:space="preserve">Service Area </t>
  </si>
  <si>
    <t>Garage / Drivers Toilet  / Service Room / Staircase / AHU</t>
  </si>
  <si>
    <t>Internal Staircase / AHU</t>
  </si>
  <si>
    <t>Service Area  / Staircase / AHU</t>
  </si>
  <si>
    <t>As per Sale Plan</t>
  </si>
  <si>
    <t>Lower Ground Floor</t>
  </si>
  <si>
    <t>Upper Ground Floor</t>
  </si>
  <si>
    <t>Second Floor</t>
  </si>
  <si>
    <t xml:space="preserve">Area in Sq. Ft. </t>
  </si>
  <si>
    <t>As per approved Plan</t>
  </si>
  <si>
    <t>As per Architect Certificate</t>
  </si>
  <si>
    <t>Floor</t>
  </si>
  <si>
    <r>
      <t>No Increase at Unit Located Upto 3</t>
    </r>
    <r>
      <rPr>
        <vertAlign val="superscript"/>
        <sz val="10.5"/>
        <color theme="1"/>
        <rFont val="Arial Narrow"/>
        <family val="2"/>
      </rPr>
      <t>rd</t>
    </r>
    <r>
      <rPr>
        <sz val="10.5"/>
        <color theme="1"/>
        <rFont val="Arial Narrow"/>
        <family val="2"/>
      </rPr>
      <t xml:space="preserve"> Floor</t>
    </r>
  </si>
  <si>
    <t>Stamp Duty Ready Reckoner Market Value Rate (After Increase) (A)</t>
  </si>
  <si>
    <r>
      <t xml:space="preserve">Stamp Duty Ready Reckoner Market Value Rate for </t>
    </r>
    <r>
      <rPr>
        <b/>
        <sz val="10.5"/>
        <color rgb="FF000000"/>
        <rFont val="Arial Narrow"/>
        <family val="2"/>
      </rPr>
      <t>Land (B)</t>
    </r>
  </si>
  <si>
    <t>The difference between land rate and building rate (A – B = C)</t>
  </si>
  <si>
    <r>
      <t>1</t>
    </r>
    <r>
      <rPr>
        <b/>
        <vertAlign val="superscript"/>
        <sz val="10.5"/>
        <color rgb="FF000000"/>
        <rFont val="Arial Narrow"/>
        <family val="2"/>
      </rPr>
      <t>st</t>
    </r>
    <r>
      <rPr>
        <b/>
        <sz val="10.5"/>
        <color rgb="FF000000"/>
        <rFont val="Arial Narrow"/>
        <family val="2"/>
      </rPr>
      <t xml:space="preserve"> Basement</t>
    </r>
  </si>
  <si>
    <t>(70% of rate of Ground Floor)</t>
  </si>
  <si>
    <t>Ground</t>
  </si>
  <si>
    <r>
      <t>1</t>
    </r>
    <r>
      <rPr>
        <b/>
        <vertAlign val="superscript"/>
        <sz val="10.5"/>
        <color rgb="FF000000"/>
        <rFont val="Arial Narrow"/>
        <family val="2"/>
      </rPr>
      <t>st</t>
    </r>
    <r>
      <rPr>
        <b/>
        <sz val="10.5"/>
        <color rgb="FF000000"/>
        <rFont val="Arial Narrow"/>
        <family val="2"/>
      </rPr>
      <t xml:space="preserve"> to 3</t>
    </r>
    <r>
      <rPr>
        <b/>
        <vertAlign val="superscript"/>
        <sz val="10.5"/>
        <color rgb="FF000000"/>
        <rFont val="Arial Narrow"/>
        <family val="2"/>
      </rPr>
      <t xml:space="preserve">rd </t>
    </r>
    <r>
      <rPr>
        <b/>
        <sz val="10.5"/>
        <color rgb="FF000000"/>
        <rFont val="Arial Narrow"/>
        <family val="2"/>
      </rPr>
      <t>Floor</t>
    </r>
  </si>
  <si>
    <r>
      <t xml:space="preserve">Stamp Duty Ready Reckoner Market Value Rate for </t>
    </r>
    <r>
      <rPr>
        <b/>
        <sz val="10.5"/>
        <color rgb="FF000000"/>
        <rFont val="Arial Narrow"/>
        <family val="2"/>
      </rPr>
      <t xml:space="preserve">Commercial Premises </t>
    </r>
    <r>
      <rPr>
        <sz val="10.5"/>
        <color rgb="FF000000"/>
        <rFont val="Arial Narrow"/>
        <family val="2"/>
      </rPr>
      <t>located on 1</t>
    </r>
    <r>
      <rPr>
        <vertAlign val="superscript"/>
        <sz val="10.5"/>
        <color rgb="FF000000"/>
        <rFont val="Arial Narrow"/>
        <family val="2"/>
      </rPr>
      <t>st</t>
    </r>
    <r>
      <rPr>
        <sz val="10.5"/>
        <color rgb="FF000000"/>
        <rFont val="Arial Narrow"/>
        <family val="2"/>
      </rPr>
      <t xml:space="preserve"> Basement floor to 3</t>
    </r>
    <r>
      <rPr>
        <vertAlign val="superscript"/>
        <sz val="10.5"/>
        <color rgb="FF000000"/>
        <rFont val="Arial Narrow"/>
        <family val="2"/>
      </rPr>
      <t>rd</t>
    </r>
    <r>
      <rPr>
        <sz val="10.5"/>
        <color rgb="FF000000"/>
        <rFont val="Arial Narrow"/>
        <family val="2"/>
      </rPr>
      <t xml:space="preserve"> floor – per Sq. M.</t>
    </r>
  </si>
  <si>
    <t>Depreciation Percentage as per table (D) [100% - 8%]</t>
  </si>
  <si>
    <t>(Age of the Building – 8 Years)</t>
  </si>
  <si>
    <t>Rate to be adopted after considering depreciation [B + (C x D)] – per Sq. M.</t>
  </si>
  <si>
    <t>Rate to be adopted after considering depreciation [B + (C x D)] – per Sq. Ft.</t>
  </si>
  <si>
    <t>No. of Car parking</t>
  </si>
  <si>
    <t xml:space="preserve">Ground Floor </t>
  </si>
  <si>
    <t>7 Nos.</t>
  </si>
  <si>
    <t xml:space="preserve">Second Floor </t>
  </si>
  <si>
    <t>18 Nos.</t>
  </si>
  <si>
    <t xml:space="preserve">Total </t>
  </si>
  <si>
    <t>Guideline Value</t>
  </si>
  <si>
    <t>Fair Market Value</t>
  </si>
  <si>
    <t xml:space="preserve"> Realizable Value </t>
  </si>
  <si>
    <r>
      <t xml:space="preserve">Distress Value </t>
    </r>
    <r>
      <rPr>
        <sz val="11"/>
        <color theme="1"/>
        <rFont val="Arial Narrow"/>
        <family val="2"/>
      </rPr>
      <t xml:space="preserve">  </t>
    </r>
  </si>
  <si>
    <t>Interior</t>
  </si>
  <si>
    <t xml:space="preserve">Realizable Value </t>
  </si>
  <si>
    <t>Description</t>
  </si>
  <si>
    <t>Built up Area (Sq. Ft.)</t>
  </si>
  <si>
    <r>
      <t>Rate (</t>
    </r>
    <r>
      <rPr>
        <b/>
        <sz val="11"/>
        <color theme="1"/>
        <rFont val="Rupee Foradian"/>
        <family val="2"/>
      </rPr>
      <t>`</t>
    </r>
    <r>
      <rPr>
        <b/>
        <sz val="11"/>
        <color theme="1"/>
        <rFont val="Arial Narrow"/>
        <family val="2"/>
      </rPr>
      <t>)</t>
    </r>
  </si>
  <si>
    <t xml:space="preserve">Guideline </t>
  </si>
  <si>
    <r>
      <t>Value (</t>
    </r>
    <r>
      <rPr>
        <b/>
        <sz val="11"/>
        <color theme="1"/>
        <rFont val="Rupee Foradian"/>
        <family val="2"/>
      </rPr>
      <t>`</t>
    </r>
    <r>
      <rPr>
        <b/>
        <sz val="11"/>
        <color theme="1"/>
        <rFont val="Arial Narrow"/>
        <family val="2"/>
      </rPr>
      <t>)</t>
    </r>
  </si>
  <si>
    <t xml:space="preserve"> 1st Basement Floor </t>
  </si>
  <si>
    <t xml:space="preserve"> Ground Floor </t>
  </si>
  <si>
    <t xml:space="preserve"> First Floor </t>
  </si>
  <si>
    <t xml:space="preserve"> 2nd Floor </t>
  </si>
  <si>
    <t>Total</t>
  </si>
  <si>
    <t>Carpet Area</t>
  </si>
  <si>
    <t xml:space="preserve">Car parking </t>
  </si>
  <si>
    <t>Rate per</t>
  </si>
  <si>
    <r>
      <t>unit (</t>
    </r>
    <r>
      <rPr>
        <b/>
        <sz val="11"/>
        <color theme="1"/>
        <rFont val="Rupee Foradian"/>
        <family val="2"/>
      </rPr>
      <t>`</t>
    </r>
    <r>
      <rPr>
        <b/>
        <sz val="11"/>
        <color theme="1"/>
        <rFont val="Arial Narrow"/>
        <family val="2"/>
      </rPr>
      <t>)</t>
    </r>
  </si>
  <si>
    <t>Estimated</t>
  </si>
  <si>
    <t>Office Area</t>
  </si>
  <si>
    <t>Total (A)</t>
  </si>
  <si>
    <t>Interior Value</t>
  </si>
  <si>
    <t>Total RERA</t>
  </si>
  <si>
    <t>Carpet</t>
  </si>
  <si>
    <t>Area</t>
  </si>
  <si>
    <t>(Sq. Ft.)</t>
  </si>
  <si>
    <r>
      <t>Ground to 2</t>
    </r>
    <r>
      <rPr>
        <vertAlign val="superscript"/>
        <sz val="11"/>
        <color theme="1"/>
        <rFont val="Arial Narrow"/>
        <family val="2"/>
      </rPr>
      <t>nd</t>
    </r>
    <r>
      <rPr>
        <sz val="11"/>
        <color theme="1"/>
        <rFont val="Arial Narrow"/>
        <family val="2"/>
      </rPr>
      <t xml:space="preserve"> Floor area</t>
    </r>
  </si>
  <si>
    <t>Total (B)</t>
  </si>
  <si>
    <t>Car parking</t>
  </si>
  <si>
    <t>Parking Area</t>
  </si>
  <si>
    <t>Total (C)</t>
  </si>
  <si>
    <t>Grand Total (A + B + 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</si>
</sst>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#,##0.000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b/>
      <sz val="11"/>
      <color rgb="FFFF0000"/>
      <name val="Rupee Foradian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b/>
      <sz val="10.5"/>
      <color rgb="FF000000"/>
      <name val="Arial Narrow"/>
      <family val="2"/>
    </font>
    <font>
      <sz val="10.5"/>
      <color rgb="FF000000"/>
      <name val="Arial Narrow"/>
      <family val="2"/>
    </font>
    <font>
      <vertAlign val="superscript"/>
      <sz val="10.5"/>
      <color rgb="FF000000"/>
      <name val="Arial Narrow"/>
      <family val="2"/>
    </font>
    <font>
      <sz val="10.5"/>
      <color theme="1"/>
      <name val="Arial Narrow"/>
      <family val="2"/>
    </font>
    <font>
      <vertAlign val="superscript"/>
      <sz val="10.5"/>
      <color theme="1"/>
      <name val="Arial Narrow"/>
      <family val="2"/>
    </font>
    <font>
      <b/>
      <vertAlign val="superscript"/>
      <sz val="10.5"/>
      <color rgb="FF000000"/>
      <name val="Arial Narrow"/>
      <family val="2"/>
    </font>
    <font>
      <sz val="10"/>
      <color rgb="FFFF0000"/>
      <name val="Arial Narrow"/>
      <family val="2"/>
    </font>
    <font>
      <b/>
      <sz val="11"/>
      <color theme="1"/>
      <name val="Rupee Foradian"/>
      <family val="2"/>
    </font>
    <font>
      <b/>
      <sz val="11"/>
      <color rgb="FF000000"/>
      <name val="Arial Narrow"/>
      <family val="2"/>
    </font>
    <font>
      <b/>
      <sz val="10"/>
      <color rgb="FF000000"/>
      <name val="Arial Narrow"/>
      <family val="2"/>
    </font>
    <font>
      <vertAlign val="superscript"/>
      <sz val="11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2">
    <xf numFmtId="0" fontId="0" fillId="0" borderId="0"/>
    <xf numFmtId="43" fontId="11" fillId="0" borderId="0" applyFont="0" applyFill="0" applyBorder="0" applyAlignment="0" applyProtection="0"/>
  </cellStyleXfs>
  <cellXfs count="160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3" fillId="0" borderId="1" xfId="0" applyFont="1" applyBorder="1" applyAlignment="1">
      <alignment horizontal="center" vertical="top" wrapText="1" shrinkToFit="1"/>
    </xf>
    <xf numFmtId="0" fontId="4" fillId="0" borderId="1" xfId="0" applyFont="1" applyBorder="1" applyAlignment="1">
      <alignment horizontal="center" vertical="top" wrapText="1" shrinkToFit="1"/>
    </xf>
    <xf numFmtId="0" fontId="2" fillId="0" borderId="1" xfId="0" applyFont="1" applyBorder="1" applyAlignment="1">
      <alignment vertical="top"/>
    </xf>
    <xf numFmtId="0" fontId="2" fillId="0" borderId="0" xfId="0" applyFont="1"/>
    <xf numFmtId="0" fontId="5" fillId="0" borderId="1" xfId="0" applyFont="1" applyBorder="1" applyAlignment="1">
      <alignment horizontal="center" vertical="top" wrapText="1" shrinkToFit="1"/>
    </xf>
    <xf numFmtId="0" fontId="6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6" fillId="0" borderId="0" xfId="0" applyFont="1" applyAlignment="1">
      <alignment wrapText="1"/>
    </xf>
    <xf numFmtId="4" fontId="2" fillId="0" borderId="1" xfId="0" applyNumberFormat="1" applyFont="1" applyBorder="1" applyAlignment="1">
      <alignment vertical="top"/>
    </xf>
    <xf numFmtId="4" fontId="2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2" fillId="0" borderId="0" xfId="0" applyNumberFormat="1" applyFont="1"/>
    <xf numFmtId="4" fontId="8" fillId="0" borderId="0" xfId="0" applyNumberFormat="1" applyFont="1"/>
    <xf numFmtId="0" fontId="7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4" fontId="7" fillId="0" borderId="0" xfId="0" applyNumberFormat="1" applyFont="1" applyAlignment="1">
      <alignment vertical="top"/>
    </xf>
    <xf numFmtId="0" fontId="3" fillId="0" borderId="0" xfId="0" applyFont="1" applyAlignment="1">
      <alignment horizontal="center" vertical="top" wrapText="1" shrinkToFit="1"/>
    </xf>
    <xf numFmtId="4" fontId="2" fillId="0" borderId="2" xfId="0" applyNumberFormat="1" applyFont="1" applyBorder="1" applyAlignment="1">
      <alignment vertical="top"/>
    </xf>
    <xf numFmtId="2" fontId="1" fillId="0" borderId="0" xfId="0" applyNumberFormat="1" applyFont="1"/>
    <xf numFmtId="0" fontId="2" fillId="0" borderId="0" xfId="0" applyFont="1" applyAlignment="1">
      <alignment horizontal="center" wrapText="1"/>
    </xf>
    <xf numFmtId="2" fontId="2" fillId="0" borderId="0" xfId="0" applyNumberFormat="1" applyFont="1"/>
    <xf numFmtId="0" fontId="1" fillId="0" borderId="0" xfId="0" applyFont="1" applyAlignment="1">
      <alignment horizontal="right" vertical="top" wrapText="1"/>
    </xf>
    <xf numFmtId="0" fontId="9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2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 vertical="top" wrapText="1"/>
    </xf>
    <xf numFmtId="0" fontId="9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3" fontId="7" fillId="0" borderId="1" xfId="0" applyNumberFormat="1" applyFont="1" applyBorder="1" applyAlignment="1">
      <alignment vertical="top"/>
    </xf>
    <xf numFmtId="3" fontId="2" fillId="0" borderId="0" xfId="0" applyNumberFormat="1" applyFont="1"/>
    <xf numFmtId="3" fontId="2" fillId="0" borderId="1" xfId="0" applyNumberFormat="1" applyFont="1" applyBorder="1" applyAlignment="1">
      <alignment vertical="top"/>
    </xf>
    <xf numFmtId="3" fontId="2" fillId="0" borderId="1" xfId="0" applyNumberFormat="1" applyFont="1" applyBorder="1"/>
    <xf numFmtId="3" fontId="7" fillId="0" borderId="1" xfId="0" applyNumberFormat="1" applyFont="1" applyBorder="1"/>
    <xf numFmtId="3" fontId="8" fillId="0" borderId="0" xfId="0" applyNumberFormat="1" applyFont="1"/>
    <xf numFmtId="0" fontId="6" fillId="0" borderId="0" xfId="0" applyFont="1"/>
    <xf numFmtId="43" fontId="12" fillId="0" borderId="1" xfId="1" applyFont="1" applyBorder="1" applyAlignment="1">
      <alignment horizontal="center" vertical="top"/>
    </xf>
    <xf numFmtId="43" fontId="6" fillId="0" borderId="1" xfId="1" applyFont="1" applyBorder="1"/>
    <xf numFmtId="0" fontId="12" fillId="0" borderId="1" xfId="0" applyFont="1" applyBorder="1" applyAlignment="1">
      <alignment horizontal="center"/>
    </xf>
    <xf numFmtId="43" fontId="7" fillId="0" borderId="1" xfId="1" applyFont="1" applyBorder="1" applyAlignment="1">
      <alignment horizontal="left" vertical="top"/>
    </xf>
    <xf numFmtId="43" fontId="1" fillId="0" borderId="1" xfId="1" applyFont="1" applyBorder="1" applyAlignment="1">
      <alignment vertical="top"/>
    </xf>
    <xf numFmtId="0" fontId="2" fillId="0" borderId="1" xfId="0" applyFont="1" applyBorder="1"/>
    <xf numFmtId="4" fontId="8" fillId="0" borderId="1" xfId="0" applyNumberFormat="1" applyFont="1" applyBorder="1" applyAlignment="1">
      <alignment vertical="top"/>
    </xf>
    <xf numFmtId="43" fontId="6" fillId="0" borderId="1" xfId="0" applyNumberFormat="1" applyFont="1" applyBorder="1" applyAlignment="1">
      <alignment vertical="top"/>
    </xf>
    <xf numFmtId="43" fontId="6" fillId="0" borderId="1" xfId="1" applyFont="1" applyBorder="1" applyAlignment="1">
      <alignment vertical="top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top"/>
    </xf>
    <xf numFmtId="0" fontId="1" fillId="0" borderId="1" xfId="0" applyFont="1" applyBorder="1"/>
    <xf numFmtId="0" fontId="8" fillId="0" borderId="1" xfId="0" applyFont="1" applyBorder="1"/>
    <xf numFmtId="4" fontId="12" fillId="0" borderId="1" xfId="0" applyNumberFormat="1" applyFont="1" applyBorder="1" applyAlignment="1">
      <alignment vertical="top"/>
    </xf>
    <xf numFmtId="0" fontId="1" fillId="0" borderId="1" xfId="0" applyFont="1" applyBorder="1" applyAlignment="1">
      <alignment horizontal="justify" vertical="center" wrapText="1"/>
    </xf>
    <xf numFmtId="4" fontId="2" fillId="0" borderId="1" xfId="0" applyNumberFormat="1" applyFont="1" applyBorder="1"/>
    <xf numFmtId="43" fontId="7" fillId="0" borderId="1" xfId="1" applyFont="1" applyBorder="1" applyAlignment="1">
      <alignment horizontal="right" vertical="top"/>
    </xf>
    <xf numFmtId="0" fontId="12" fillId="0" borderId="1" xfId="0" applyFont="1" applyBorder="1"/>
    <xf numFmtId="4" fontId="12" fillId="0" borderId="1" xfId="0" applyNumberFormat="1" applyFont="1" applyBorder="1" applyAlignment="1">
      <alignment horizontal="right" vertical="top"/>
    </xf>
    <xf numFmtId="0" fontId="12" fillId="0" borderId="1" xfId="0" applyFont="1" applyBorder="1" applyAlignment="1">
      <alignment horizontal="left" vertical="top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0" xfId="0" applyFont="1" applyBorder="1" applyAlignment="1">
      <alignment horizontal="right" vertical="center"/>
    </xf>
    <xf numFmtId="0" fontId="14" fillId="0" borderId="11" xfId="0" applyFont="1" applyBorder="1" applyAlignment="1">
      <alignment horizontal="right" vertical="center"/>
    </xf>
    <xf numFmtId="0" fontId="14" fillId="0" borderId="8" xfId="0" applyFont="1" applyBorder="1" applyAlignment="1">
      <alignment vertical="center"/>
    </xf>
    <xf numFmtId="4" fontId="14" fillId="0" borderId="11" xfId="0" applyNumberFormat="1" applyFont="1" applyBorder="1" applyAlignment="1">
      <alignment horizontal="right" vertical="center"/>
    </xf>
    <xf numFmtId="0" fontId="16" fillId="0" borderId="8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4" fontId="13" fillId="0" borderId="11" xfId="0" applyNumberFormat="1" applyFont="1" applyBorder="1" applyAlignment="1">
      <alignment horizontal="right" vertical="center"/>
    </xf>
    <xf numFmtId="0" fontId="13" fillId="0" borderId="11" xfId="0" applyFont="1" applyBorder="1" applyAlignment="1">
      <alignment horizontal="right" vertical="center"/>
    </xf>
    <xf numFmtId="0" fontId="14" fillId="0" borderId="12" xfId="0" applyFont="1" applyBorder="1" applyAlignment="1">
      <alignment vertical="center"/>
    </xf>
    <xf numFmtId="0" fontId="13" fillId="0" borderId="8" xfId="0" applyFont="1" applyBorder="1" applyAlignment="1">
      <alignment vertical="center" wrapText="1"/>
    </xf>
    <xf numFmtId="164" fontId="13" fillId="0" borderId="11" xfId="0" applyNumberFormat="1" applyFont="1" applyBorder="1" applyAlignment="1">
      <alignment horizontal="right" vertical="center"/>
    </xf>
    <xf numFmtId="0" fontId="13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0" xfId="0" applyFont="1" applyAlignment="1">
      <alignment wrapText="1"/>
    </xf>
    <xf numFmtId="0" fontId="14" fillId="0" borderId="8" xfId="0" applyFont="1" applyBorder="1" applyAlignment="1">
      <alignment vertical="center" wrapText="1"/>
    </xf>
    <xf numFmtId="0" fontId="16" fillId="0" borderId="8" xfId="0" applyFont="1" applyBorder="1" applyAlignment="1">
      <alignment vertical="center" wrapText="1"/>
    </xf>
    <xf numFmtId="0" fontId="14" fillId="0" borderId="12" xfId="0" applyFont="1" applyBorder="1" applyAlignment="1">
      <alignment vertical="center" wrapText="1"/>
    </xf>
    <xf numFmtId="0" fontId="6" fillId="0" borderId="6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1" fillId="0" borderId="11" xfId="0" applyFont="1" applyBorder="1" applyAlignment="1">
      <alignment horizontal="center" vertical="center" wrapText="1"/>
    </xf>
    <xf numFmtId="4" fontId="1" fillId="0" borderId="11" xfId="0" applyNumberFormat="1" applyFont="1" applyBorder="1" applyAlignment="1">
      <alignment horizontal="right" vertical="center"/>
    </xf>
    <xf numFmtId="0" fontId="6" fillId="0" borderId="8" xfId="0" applyFont="1" applyBorder="1" applyAlignment="1">
      <alignment vertical="center"/>
    </xf>
    <xf numFmtId="0" fontId="6" fillId="0" borderId="11" xfId="0" applyFont="1" applyBorder="1" applyAlignment="1">
      <alignment horizontal="right" vertical="center" wrapText="1"/>
    </xf>
    <xf numFmtId="4" fontId="6" fillId="0" borderId="11" xfId="0" applyNumberFormat="1" applyFont="1" applyBorder="1" applyAlignment="1">
      <alignment horizontal="right" vertical="center"/>
    </xf>
    <xf numFmtId="43" fontId="2" fillId="0" borderId="0" xfId="0" applyNumberFormat="1" applyFont="1"/>
    <xf numFmtId="43" fontId="2" fillId="0" borderId="0" xfId="1" applyFont="1"/>
    <xf numFmtId="43" fontId="2" fillId="0" borderId="1" xfId="1" applyFont="1" applyBorder="1"/>
    <xf numFmtId="43" fontId="9" fillId="0" borderId="0" xfId="1" applyFont="1" applyAlignment="1">
      <alignment horizontal="left" vertical="top" wrapText="1"/>
    </xf>
    <xf numFmtId="43" fontId="1" fillId="0" borderId="0" xfId="0" applyNumberFormat="1" applyFont="1"/>
    <xf numFmtId="0" fontId="6" fillId="0" borderId="1" xfId="0" applyFont="1" applyBorder="1"/>
    <xf numFmtId="0" fontId="6" fillId="0" borderId="1" xfId="0" applyFont="1" applyBorder="1" applyAlignment="1">
      <alignment vertical="center" wrapText="1"/>
    </xf>
    <xf numFmtId="4" fontId="6" fillId="0" borderId="0" xfId="0" applyNumberFormat="1" applyFont="1"/>
    <xf numFmtId="43" fontId="6" fillId="0" borderId="1" xfId="0" applyNumberFormat="1" applyFont="1" applyBorder="1"/>
    <xf numFmtId="43" fontId="7" fillId="0" borderId="0" xfId="1" applyFont="1" applyBorder="1" applyAlignment="1">
      <alignment horizontal="left" vertical="top"/>
    </xf>
    <xf numFmtId="43" fontId="1" fillId="0" borderId="0" xfId="1" applyFont="1" applyBorder="1" applyAlignment="1">
      <alignment vertical="top"/>
    </xf>
    <xf numFmtId="43" fontId="2" fillId="0" borderId="0" xfId="1" applyFont="1" applyBorder="1"/>
    <xf numFmtId="0" fontId="2" fillId="0" borderId="0" xfId="0" applyFont="1" applyAlignment="1">
      <alignment horizontal="center"/>
    </xf>
    <xf numFmtId="0" fontId="8" fillId="0" borderId="0" xfId="0" applyFont="1" applyAlignment="1">
      <alignment wrapText="1"/>
    </xf>
    <xf numFmtId="0" fontId="2" fillId="0" borderId="1" xfId="0" applyFont="1" applyBorder="1" applyAlignment="1">
      <alignment horizontal="center" wrapText="1"/>
    </xf>
    <xf numFmtId="43" fontId="2" fillId="0" borderId="1" xfId="1" applyFont="1" applyBorder="1" applyAlignment="1">
      <alignment vertical="top"/>
    </xf>
    <xf numFmtId="0" fontId="8" fillId="0" borderId="0" xfId="0" applyFont="1"/>
    <xf numFmtId="0" fontId="2" fillId="0" borderId="0" xfId="0" applyFont="1" applyAlignment="1">
      <alignment vertical="center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horizontal="right" vertical="top" wrapText="1"/>
    </xf>
    <xf numFmtId="3" fontId="2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center"/>
    </xf>
    <xf numFmtId="0" fontId="2" fillId="0" borderId="1" xfId="0" applyFont="1" applyBorder="1" applyAlignment="1">
      <alignment horizontal="right" vertical="center" wrapText="1"/>
    </xf>
    <xf numFmtId="3" fontId="2" fillId="0" borderId="1" xfId="0" applyNumberFormat="1" applyFont="1" applyBorder="1" applyAlignment="1">
      <alignment horizontal="right" wrapText="1"/>
    </xf>
    <xf numFmtId="43" fontId="1" fillId="0" borderId="0" xfId="1" applyFont="1"/>
    <xf numFmtId="43" fontId="6" fillId="0" borderId="0" xfId="1" applyFont="1" applyAlignment="1">
      <alignment horizontal="center" vertical="top" wrapText="1"/>
    </xf>
    <xf numFmtId="43" fontId="1" fillId="0" borderId="0" xfId="1" applyFont="1" applyAlignment="1">
      <alignment horizontal="right" vertical="top" wrapText="1"/>
    </xf>
    <xf numFmtId="43" fontId="6" fillId="0" borderId="0" xfId="1" applyFont="1" applyAlignment="1">
      <alignment horizontal="right" vertical="top" wrapText="1"/>
    </xf>
    <xf numFmtId="4" fontId="6" fillId="0" borderId="1" xfId="0" applyNumberFormat="1" applyFont="1" applyBorder="1"/>
    <xf numFmtId="43" fontId="6" fillId="0" borderId="0" xfId="0" applyNumberFormat="1" applyFont="1" applyAlignment="1">
      <alignment wrapText="1"/>
    </xf>
    <xf numFmtId="43" fontId="1" fillId="0" borderId="0" xfId="0" applyNumberFormat="1" applyFont="1" applyAlignment="1">
      <alignment horizontal="right" vertical="top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4" fontId="1" fillId="0" borderId="11" xfId="0" applyNumberFormat="1" applyFont="1" applyBorder="1" applyAlignment="1">
      <alignment horizontal="right" vertical="center" wrapText="1"/>
    </xf>
    <xf numFmtId="0" fontId="21" fillId="0" borderId="8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right" vertical="center" wrapText="1"/>
    </xf>
    <xf numFmtId="0" fontId="1" fillId="0" borderId="11" xfId="0" applyFont="1" applyBorder="1" applyAlignment="1">
      <alignment horizontal="right" vertical="center" wrapText="1"/>
    </xf>
    <xf numFmtId="4" fontId="6" fillId="0" borderId="11" xfId="0" applyNumberFormat="1" applyFont="1" applyBorder="1" applyAlignment="1">
      <alignment horizontal="right" vertical="center" wrapText="1"/>
    </xf>
    <xf numFmtId="0" fontId="6" fillId="0" borderId="8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right" vertical="center"/>
    </xf>
    <xf numFmtId="0" fontId="14" fillId="0" borderId="8" xfId="0" applyFont="1" applyBorder="1" applyAlignment="1">
      <alignment horizontal="right" vertical="center"/>
    </xf>
    <xf numFmtId="0" fontId="13" fillId="0" borderId="7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9" fontId="14" fillId="0" borderId="7" xfId="0" applyNumberFormat="1" applyFont="1" applyBorder="1" applyAlignment="1">
      <alignment horizontal="right" vertical="center"/>
    </xf>
    <xf numFmtId="9" fontId="14" fillId="0" borderId="8" xfId="0" applyNumberFormat="1" applyFont="1" applyBorder="1" applyAlignment="1">
      <alignment horizontal="right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43" fontId="2" fillId="0" borderId="1" xfId="0" applyNumberFormat="1" applyFont="1" applyBorder="1" applyAlignment="1">
      <alignment vertical="top"/>
    </xf>
    <xf numFmtId="0" fontId="21" fillId="0" borderId="11" xfId="0" applyFont="1" applyBorder="1" applyAlignment="1">
      <alignment horizontal="right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4" fontId="9" fillId="0" borderId="11" xfId="0" applyNumberFormat="1" applyFont="1" applyBorder="1" applyAlignment="1">
      <alignment horizontal="right" vertical="center" wrapText="1"/>
    </xf>
    <xf numFmtId="0" fontId="9" fillId="0" borderId="8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FB101B-6CF6-EA8C-34A3-4F211B864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017E1E-432A-29C2-56AE-573BA08D2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D3C368-445D-7D3E-745F-3A514089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57D0F3-75DF-A861-A1A9-C5A962D24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30</xdr:col>
      <xdr:colOff>2553</xdr:colOff>
      <xdr:row>110</xdr:row>
      <xdr:rowOff>1436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3A2511-32DA-4A4A-A40F-E0999D715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668000"/>
          <a:ext cx="18290553" cy="102884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776984-18A5-BCDD-6575-99EF3EF9E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8A66F8-C971-5959-7532-4486CF584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A83D6D-AEE9-ECCF-77A3-D22FAD45F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74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D42" sqref="D42:D44"/>
    </sheetView>
  </sheetViews>
  <sheetFormatPr defaultRowHeight="16.5" x14ac:dyDescent="0.3"/>
  <cols>
    <col min="1" max="1" width="9.140625" style="35"/>
    <col min="2" max="2" width="28.7109375" style="2" customWidth="1"/>
    <col min="3" max="3" width="14.140625" style="1" customWidth="1"/>
    <col min="4" max="4" width="17.42578125" style="1" bestFit="1" customWidth="1"/>
    <col min="5" max="5" width="17.5703125" style="1" bestFit="1" customWidth="1"/>
    <col min="6" max="6" width="18" style="6" bestFit="1" customWidth="1"/>
    <col min="7" max="7" width="17.7109375" style="6" bestFit="1" customWidth="1"/>
    <col min="8" max="8" width="15.28515625" style="6" bestFit="1" customWidth="1"/>
    <col min="9" max="9" width="24.5703125" style="6" bestFit="1" customWidth="1"/>
    <col min="10" max="10" width="13.85546875" style="1" bestFit="1" customWidth="1"/>
    <col min="11" max="11" width="47.28515625" style="6" bestFit="1" customWidth="1"/>
    <col min="12" max="12" width="23.7109375" style="1" bestFit="1" customWidth="1"/>
    <col min="13" max="13" width="17.5703125" style="6" bestFit="1" customWidth="1"/>
    <col min="14" max="14" width="14.85546875" style="6" customWidth="1"/>
    <col min="15" max="15" width="14.85546875" style="6" bestFit="1" customWidth="1"/>
    <col min="16" max="16" width="13.7109375" style="1" bestFit="1" customWidth="1"/>
    <col min="17" max="17" width="9.140625" style="1"/>
    <col min="18" max="18" width="11.28515625" style="1" bestFit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19" s="6" customFormat="1" x14ac:dyDescent="0.3">
      <c r="A1" s="104"/>
      <c r="B1" s="105" t="s">
        <v>13</v>
      </c>
      <c r="E1" s="6" t="s">
        <v>38</v>
      </c>
      <c r="F1" s="6" t="s">
        <v>39</v>
      </c>
      <c r="H1" s="6" t="s">
        <v>37</v>
      </c>
      <c r="K1" s="6" t="s">
        <v>25</v>
      </c>
      <c r="O1" s="6" t="s">
        <v>32</v>
      </c>
      <c r="R1" s="6" t="s">
        <v>32</v>
      </c>
    </row>
    <row r="2" spans="1:19" s="6" customFormat="1" x14ac:dyDescent="0.3">
      <c r="A2" s="104"/>
      <c r="B2" s="106" t="s">
        <v>11</v>
      </c>
      <c r="C2" s="107">
        <v>6560.23</v>
      </c>
      <c r="D2" s="6" t="s">
        <v>43</v>
      </c>
      <c r="E2" s="4">
        <v>0</v>
      </c>
      <c r="F2" s="4">
        <f>MROUND(E2*10.764,1)</f>
        <v>0</v>
      </c>
      <c r="G2" s="22"/>
      <c r="H2" s="6" t="s">
        <v>38</v>
      </c>
      <c r="I2" s="38">
        <v>0</v>
      </c>
      <c r="J2" s="38">
        <f>C2</f>
        <v>6560.23</v>
      </c>
      <c r="K2" s="38">
        <f>I3</f>
        <v>0</v>
      </c>
      <c r="L2" s="38">
        <f>J2*K2</f>
        <v>0</v>
      </c>
      <c r="O2" s="108" t="s">
        <v>34</v>
      </c>
      <c r="P2" s="42">
        <f>C33</f>
        <v>328929932</v>
      </c>
      <c r="R2" s="18">
        <f>P2*0.025/12</f>
        <v>685270.69166666677</v>
      </c>
      <c r="S2" s="17" t="s">
        <v>33</v>
      </c>
    </row>
    <row r="3" spans="1:19" s="6" customFormat="1" x14ac:dyDescent="0.3">
      <c r="A3" s="104"/>
      <c r="B3" s="22" t="s">
        <v>6</v>
      </c>
      <c r="C3" s="17">
        <v>47500</v>
      </c>
      <c r="D3" s="13"/>
      <c r="E3" s="49"/>
      <c r="F3" s="49"/>
      <c r="G3" s="13"/>
      <c r="H3" s="6" t="s">
        <v>39</v>
      </c>
      <c r="I3" s="38">
        <f>MROUND(I2/10.764,1)</f>
        <v>0</v>
      </c>
      <c r="J3" s="38"/>
      <c r="K3" s="38"/>
      <c r="L3" s="38">
        <f>N16</f>
        <v>17319007</v>
      </c>
      <c r="O3" s="108" t="s">
        <v>34</v>
      </c>
      <c r="P3" s="42">
        <f>G50</f>
        <v>1049917954</v>
      </c>
      <c r="R3" s="42">
        <f>P3*0.04/12</f>
        <v>3499726.5133333337</v>
      </c>
      <c r="S3" s="109" t="s">
        <v>35</v>
      </c>
    </row>
    <row r="4" spans="1:19" s="6" customFormat="1" x14ac:dyDescent="0.3">
      <c r="A4" s="104"/>
      <c r="B4" s="27" t="s">
        <v>18</v>
      </c>
      <c r="C4" s="38">
        <f>ROUND((C2*C3),0)</f>
        <v>311610925</v>
      </c>
      <c r="I4" s="38"/>
      <c r="J4" s="38"/>
      <c r="K4" s="38"/>
      <c r="L4" s="38">
        <f>SUM(L2:L3)</f>
        <v>17319007</v>
      </c>
      <c r="O4" s="108" t="s">
        <v>34</v>
      </c>
      <c r="P4" s="42">
        <f>C33</f>
        <v>328929932</v>
      </c>
      <c r="R4" s="18">
        <f>P4*0.033/12</f>
        <v>904557.31300000008</v>
      </c>
      <c r="S4" s="17" t="s">
        <v>36</v>
      </c>
    </row>
    <row r="5" spans="1:19" s="6" customFormat="1" x14ac:dyDescent="0.3">
      <c r="A5" s="104"/>
      <c r="B5" s="105" t="s">
        <v>14</v>
      </c>
    </row>
    <row r="6" spans="1:19" s="111" customFormat="1" ht="60" x14ac:dyDescent="0.2">
      <c r="A6" s="110" t="s">
        <v>23</v>
      </c>
      <c r="B6" s="4" t="s">
        <v>27</v>
      </c>
      <c r="C6" s="4" t="s">
        <v>30</v>
      </c>
      <c r="D6" s="4" t="s">
        <v>0</v>
      </c>
      <c r="E6" s="4" t="s">
        <v>1</v>
      </c>
      <c r="F6" s="4" t="s">
        <v>2</v>
      </c>
      <c r="G6" s="7" t="s">
        <v>5</v>
      </c>
      <c r="H6" s="4" t="s">
        <v>29</v>
      </c>
      <c r="I6" s="4" t="s">
        <v>28</v>
      </c>
      <c r="J6" s="7" t="s">
        <v>3</v>
      </c>
      <c r="K6" s="7" t="s">
        <v>4</v>
      </c>
      <c r="L6" s="4" t="s">
        <v>16</v>
      </c>
      <c r="M6" s="36" t="s">
        <v>26</v>
      </c>
      <c r="N6" s="4" t="s">
        <v>17</v>
      </c>
      <c r="O6" s="4" t="s">
        <v>41</v>
      </c>
    </row>
    <row r="7" spans="1:19" s="111" customFormat="1" ht="15" x14ac:dyDescent="0.2">
      <c r="A7" s="110"/>
      <c r="B7" s="4"/>
      <c r="C7" s="4" t="s">
        <v>42</v>
      </c>
      <c r="D7" s="4"/>
      <c r="E7" s="4"/>
      <c r="F7" s="4"/>
      <c r="G7" s="7" t="s">
        <v>31</v>
      </c>
      <c r="H7" s="4"/>
      <c r="I7" s="4"/>
      <c r="J7" s="7"/>
      <c r="K7" s="7"/>
      <c r="L7" s="7" t="s">
        <v>31</v>
      </c>
      <c r="M7" s="7" t="s">
        <v>31</v>
      </c>
      <c r="N7" s="7" t="s">
        <v>31</v>
      </c>
      <c r="O7" s="7" t="s">
        <v>31</v>
      </c>
    </row>
    <row r="8" spans="1:19" s="11" customFormat="1" x14ac:dyDescent="0.25">
      <c r="A8" s="112">
        <v>1</v>
      </c>
      <c r="B8" s="113"/>
      <c r="C8" s="107">
        <v>6560.23</v>
      </c>
      <c r="D8" s="114">
        <v>2016</v>
      </c>
      <c r="E8" s="114">
        <v>2024</v>
      </c>
      <c r="F8" s="114">
        <v>60</v>
      </c>
      <c r="G8" s="115">
        <v>3000</v>
      </c>
      <c r="H8" s="39">
        <f t="shared" ref="H8" si="0">E8-D8</f>
        <v>8</v>
      </c>
      <c r="I8" s="39">
        <f t="shared" ref="I8" si="1">F8-H8</f>
        <v>52</v>
      </c>
      <c r="J8" s="13">
        <f t="shared" ref="J8" si="2">IF(H8&gt;=5,90*H8/F8,0)</f>
        <v>12</v>
      </c>
      <c r="K8" s="39">
        <f t="shared" ref="K8" si="3">G8/100*J8</f>
        <v>360</v>
      </c>
      <c r="L8" s="39">
        <f t="shared" ref="L8" si="4">ROUND((G8-K8),0)</f>
        <v>2640</v>
      </c>
      <c r="M8" s="39">
        <f t="shared" ref="M8" si="5">O8-N8</f>
        <v>2361683</v>
      </c>
      <c r="N8" s="39">
        <f t="shared" ref="N8" si="6">ROUND((L8*C8),0)</f>
        <v>17319007</v>
      </c>
      <c r="O8" s="39">
        <f t="shared" ref="O8" si="7">ROUND((C8*G8),0)</f>
        <v>19680690</v>
      </c>
    </row>
    <row r="9" spans="1:19" s="11" customFormat="1" x14ac:dyDescent="0.25">
      <c r="A9" s="116">
        <v>2</v>
      </c>
      <c r="B9" s="113"/>
      <c r="C9" s="117">
        <v>0</v>
      </c>
      <c r="D9" s="114">
        <v>0</v>
      </c>
      <c r="E9" s="114">
        <v>0</v>
      </c>
      <c r="F9" s="114">
        <v>60</v>
      </c>
      <c r="G9" s="115">
        <v>0</v>
      </c>
      <c r="H9" s="39">
        <f t="shared" ref="H9:H11" si="8">E9-D9</f>
        <v>0</v>
      </c>
      <c r="I9" s="39">
        <f t="shared" ref="I9:I15" si="9">F9-H9</f>
        <v>60</v>
      </c>
      <c r="J9" s="39">
        <f t="shared" ref="J9:J11" si="10">IF(H9&gt;=5,90*H9/F9,0)</f>
        <v>0</v>
      </c>
      <c r="K9" s="39">
        <f t="shared" ref="K9:K11" si="11">G9/100*J9</f>
        <v>0</v>
      </c>
      <c r="L9" s="39">
        <f t="shared" ref="L9:L11" si="12">ROUND((G9-K9),0)</f>
        <v>0</v>
      </c>
      <c r="M9" s="39">
        <f t="shared" ref="M9:M11" si="13">O9-N9</f>
        <v>0</v>
      </c>
      <c r="N9" s="39">
        <f t="shared" ref="N9:N11" si="14">ROUND((L9*C9),0)</f>
        <v>0</v>
      </c>
      <c r="O9" s="39">
        <f t="shared" ref="O9:O11" si="15">ROUND((C9*G9),0)</f>
        <v>0</v>
      </c>
    </row>
    <row r="10" spans="1:19" s="11" customFormat="1" ht="17.25" customHeight="1" x14ac:dyDescent="0.25">
      <c r="A10" s="112">
        <v>3</v>
      </c>
      <c r="B10" s="113"/>
      <c r="C10" s="117">
        <v>0</v>
      </c>
      <c r="D10" s="114">
        <v>0</v>
      </c>
      <c r="E10" s="114">
        <v>0</v>
      </c>
      <c r="F10" s="114">
        <v>60</v>
      </c>
      <c r="G10" s="115">
        <v>0</v>
      </c>
      <c r="H10" s="39">
        <f t="shared" si="8"/>
        <v>0</v>
      </c>
      <c r="I10" s="39">
        <f t="shared" si="9"/>
        <v>60</v>
      </c>
      <c r="J10" s="39">
        <f t="shared" si="10"/>
        <v>0</v>
      </c>
      <c r="K10" s="39">
        <f t="shared" si="11"/>
        <v>0</v>
      </c>
      <c r="L10" s="39">
        <f t="shared" si="12"/>
        <v>0</v>
      </c>
      <c r="M10" s="39">
        <f t="shared" si="13"/>
        <v>0</v>
      </c>
      <c r="N10" s="39">
        <f t="shared" si="14"/>
        <v>0</v>
      </c>
      <c r="O10" s="39">
        <f t="shared" si="15"/>
        <v>0</v>
      </c>
    </row>
    <row r="11" spans="1:19" s="11" customFormat="1" x14ac:dyDescent="0.25">
      <c r="A11" s="116">
        <v>4</v>
      </c>
      <c r="B11" s="113"/>
      <c r="C11" s="117">
        <v>0</v>
      </c>
      <c r="D11" s="114">
        <v>0</v>
      </c>
      <c r="E11" s="114">
        <v>0</v>
      </c>
      <c r="F11" s="114">
        <v>60</v>
      </c>
      <c r="G11" s="115">
        <v>0</v>
      </c>
      <c r="H11" s="39">
        <f t="shared" si="8"/>
        <v>0</v>
      </c>
      <c r="I11" s="39">
        <f t="shared" si="9"/>
        <v>60</v>
      </c>
      <c r="J11" s="39">
        <f t="shared" si="10"/>
        <v>0</v>
      </c>
      <c r="K11" s="39">
        <f t="shared" si="11"/>
        <v>0</v>
      </c>
      <c r="L11" s="39">
        <f t="shared" si="12"/>
        <v>0</v>
      </c>
      <c r="M11" s="39">
        <f t="shared" si="13"/>
        <v>0</v>
      </c>
      <c r="N11" s="39">
        <f t="shared" si="14"/>
        <v>0</v>
      </c>
      <c r="O11" s="39">
        <f t="shared" si="15"/>
        <v>0</v>
      </c>
    </row>
    <row r="12" spans="1:19" s="11" customFormat="1" x14ac:dyDescent="0.25">
      <c r="A12" s="112">
        <v>5</v>
      </c>
      <c r="B12" s="113"/>
      <c r="C12" s="117">
        <v>0</v>
      </c>
      <c r="D12" s="114">
        <v>0</v>
      </c>
      <c r="E12" s="114">
        <v>0</v>
      </c>
      <c r="F12" s="114">
        <v>60</v>
      </c>
      <c r="G12" s="115">
        <v>0</v>
      </c>
      <c r="H12" s="39">
        <f t="shared" ref="H12:H15" si="16">E12-D12</f>
        <v>0</v>
      </c>
      <c r="I12" s="39">
        <f t="shared" si="9"/>
        <v>60</v>
      </c>
      <c r="J12" s="39">
        <f t="shared" ref="J12:J15" si="17">IF(H12&gt;=5,90*H12/F12,0)</f>
        <v>0</v>
      </c>
      <c r="K12" s="39">
        <f t="shared" ref="K12:K15" si="18">G12/100*J12</f>
        <v>0</v>
      </c>
      <c r="L12" s="39">
        <f t="shared" ref="L12:L15" si="19">ROUND((G12-K12),0)</f>
        <v>0</v>
      </c>
      <c r="M12" s="39">
        <f t="shared" ref="M12:M15" si="20">O12-N12</f>
        <v>0</v>
      </c>
      <c r="N12" s="39">
        <f t="shared" ref="N12:N15" si="21">ROUND((L12*C12),0)</f>
        <v>0</v>
      </c>
      <c r="O12" s="39">
        <f t="shared" ref="O12:O15" si="22">ROUND((C12*G12),0)</f>
        <v>0</v>
      </c>
    </row>
    <row r="13" spans="1:19" s="6" customFormat="1" x14ac:dyDescent="0.3">
      <c r="A13" s="118">
        <v>6</v>
      </c>
      <c r="B13" s="113"/>
      <c r="C13" s="117">
        <v>0</v>
      </c>
      <c r="D13" s="119">
        <v>0</v>
      </c>
      <c r="E13" s="119">
        <v>0</v>
      </c>
      <c r="F13" s="119">
        <v>60</v>
      </c>
      <c r="G13" s="120">
        <v>0</v>
      </c>
      <c r="H13" s="39">
        <f t="shared" si="16"/>
        <v>0</v>
      </c>
      <c r="I13" s="39">
        <f t="shared" si="9"/>
        <v>60</v>
      </c>
      <c r="J13" s="39">
        <f t="shared" si="17"/>
        <v>0</v>
      </c>
      <c r="K13" s="39">
        <f t="shared" si="18"/>
        <v>0</v>
      </c>
      <c r="L13" s="39">
        <f t="shared" si="19"/>
        <v>0</v>
      </c>
      <c r="M13" s="40">
        <f t="shared" si="20"/>
        <v>0</v>
      </c>
      <c r="N13" s="39">
        <f t="shared" si="21"/>
        <v>0</v>
      </c>
      <c r="O13" s="39">
        <f t="shared" si="22"/>
        <v>0</v>
      </c>
    </row>
    <row r="14" spans="1:19" s="6" customFormat="1" x14ac:dyDescent="0.3">
      <c r="A14" s="22">
        <v>7</v>
      </c>
      <c r="B14" s="113"/>
      <c r="C14" s="117">
        <v>0</v>
      </c>
      <c r="D14" s="119">
        <v>0</v>
      </c>
      <c r="E14" s="119">
        <v>0</v>
      </c>
      <c r="F14" s="119">
        <v>60</v>
      </c>
      <c r="G14" s="120">
        <v>0</v>
      </c>
      <c r="H14" s="39">
        <f t="shared" si="16"/>
        <v>0</v>
      </c>
      <c r="I14" s="39">
        <f t="shared" si="9"/>
        <v>60</v>
      </c>
      <c r="J14" s="39">
        <f t="shared" si="17"/>
        <v>0</v>
      </c>
      <c r="K14" s="39">
        <f t="shared" si="18"/>
        <v>0</v>
      </c>
      <c r="L14" s="39">
        <f t="shared" si="19"/>
        <v>0</v>
      </c>
      <c r="M14" s="40">
        <f t="shared" si="20"/>
        <v>0</v>
      </c>
      <c r="N14" s="39">
        <f t="shared" si="21"/>
        <v>0</v>
      </c>
      <c r="O14" s="39">
        <f t="shared" si="22"/>
        <v>0</v>
      </c>
    </row>
    <row r="15" spans="1:19" s="6" customFormat="1" x14ac:dyDescent="0.3">
      <c r="A15" s="118">
        <v>8</v>
      </c>
      <c r="B15" s="113"/>
      <c r="C15" s="117">
        <v>0</v>
      </c>
      <c r="D15" s="119">
        <v>0</v>
      </c>
      <c r="E15" s="119">
        <v>0</v>
      </c>
      <c r="F15" s="119">
        <v>60</v>
      </c>
      <c r="G15" s="120">
        <v>0</v>
      </c>
      <c r="H15" s="39">
        <f t="shared" si="16"/>
        <v>0</v>
      </c>
      <c r="I15" s="39">
        <f t="shared" si="9"/>
        <v>60</v>
      </c>
      <c r="J15" s="39">
        <f t="shared" si="17"/>
        <v>0</v>
      </c>
      <c r="K15" s="39">
        <f t="shared" si="18"/>
        <v>0</v>
      </c>
      <c r="L15" s="39">
        <f t="shared" si="19"/>
        <v>0</v>
      </c>
      <c r="M15" s="40">
        <f t="shared" si="20"/>
        <v>0</v>
      </c>
      <c r="N15" s="39">
        <f t="shared" si="21"/>
        <v>0</v>
      </c>
      <c r="O15" s="39">
        <f t="shared" si="22"/>
        <v>0</v>
      </c>
    </row>
    <row r="16" spans="1:19" s="6" customFormat="1" x14ac:dyDescent="0.3">
      <c r="A16" s="22"/>
      <c r="B16" s="113"/>
      <c r="C16" s="5"/>
      <c r="D16" s="5"/>
      <c r="E16" s="5"/>
      <c r="F16" s="5"/>
      <c r="G16" s="39"/>
      <c r="H16" s="39"/>
      <c r="I16" s="39"/>
      <c r="J16" s="39"/>
      <c r="K16" s="39"/>
      <c r="L16" s="39"/>
      <c r="M16" s="39">
        <f>SUM(M8:M15)</f>
        <v>2361683</v>
      </c>
      <c r="N16" s="39">
        <f>SUM(N8:N15)</f>
        <v>17319007</v>
      </c>
      <c r="O16" s="39">
        <f>SUM(O8:O15)</f>
        <v>19680690</v>
      </c>
    </row>
    <row r="17" spans="1:16" x14ac:dyDescent="0.3">
      <c r="B17" s="9"/>
      <c r="C17" s="10"/>
      <c r="D17" s="10"/>
      <c r="E17" s="10"/>
      <c r="F17" s="11"/>
      <c r="G17" s="11"/>
      <c r="H17" s="11"/>
      <c r="I17" s="11"/>
      <c r="J17" s="10"/>
      <c r="K17" s="14"/>
      <c r="L17" s="15"/>
      <c r="M17" s="11"/>
      <c r="N17" s="23"/>
      <c r="O17" s="23"/>
    </row>
    <row r="18" spans="1:16" x14ac:dyDescent="0.3">
      <c r="B18" s="143" t="s">
        <v>20</v>
      </c>
      <c r="C18" s="143"/>
      <c r="D18" s="10"/>
      <c r="E18" s="10"/>
      <c r="F18" s="11"/>
      <c r="G18" s="11"/>
      <c r="H18" s="11"/>
      <c r="I18" s="11"/>
      <c r="J18" s="10"/>
      <c r="K18" s="14"/>
      <c r="L18" s="15"/>
      <c r="M18" s="11"/>
      <c r="N18" s="23"/>
      <c r="O18" s="23"/>
    </row>
    <row r="19" spans="1:16" x14ac:dyDescent="0.3">
      <c r="B19" s="20" t="s">
        <v>19</v>
      </c>
      <c r="C19" s="41">
        <v>0</v>
      </c>
      <c r="D19" s="10"/>
      <c r="E19" s="10"/>
      <c r="F19" s="11"/>
      <c r="G19" s="11"/>
      <c r="H19" s="11"/>
      <c r="I19" s="11"/>
      <c r="J19" s="10"/>
      <c r="K19" s="14"/>
      <c r="L19" s="15"/>
      <c r="M19" s="11"/>
      <c r="N19" s="23"/>
      <c r="O19" s="23"/>
    </row>
    <row r="20" spans="1:16" x14ac:dyDescent="0.3">
      <c r="B20" s="21" t="s">
        <v>6</v>
      </c>
      <c r="C20" s="37">
        <v>0</v>
      </c>
      <c r="D20" s="10"/>
      <c r="E20" s="10"/>
      <c r="F20" s="11"/>
      <c r="G20" s="11"/>
      <c r="H20" s="11"/>
      <c r="I20" s="11"/>
      <c r="J20" s="10"/>
      <c r="K20" s="14"/>
      <c r="L20" s="15"/>
      <c r="M20" s="11"/>
      <c r="N20" s="23"/>
      <c r="O20" s="23"/>
    </row>
    <row r="21" spans="1:16" x14ac:dyDescent="0.3">
      <c r="B21" s="21" t="s">
        <v>7</v>
      </c>
      <c r="C21" s="40">
        <f>ROUND((C19*C20),0)</f>
        <v>0</v>
      </c>
      <c r="D21" s="10"/>
      <c r="E21" s="10"/>
      <c r="F21" s="11"/>
      <c r="G21" s="11"/>
      <c r="H21" s="11"/>
      <c r="I21" s="11"/>
      <c r="J21" s="10"/>
      <c r="K21" s="14"/>
      <c r="L21" s="15"/>
      <c r="M21" s="11"/>
      <c r="N21" s="23"/>
      <c r="O21" s="23"/>
    </row>
    <row r="22" spans="1:16" x14ac:dyDescent="0.3">
      <c r="B22" s="9"/>
      <c r="C22" s="10"/>
      <c r="D22" s="10"/>
      <c r="E22" s="10"/>
      <c r="F22" s="11"/>
      <c r="G22" s="11"/>
      <c r="H22" s="11"/>
      <c r="I22" s="11"/>
      <c r="J22" s="10"/>
      <c r="K22" s="14"/>
      <c r="L22" s="15"/>
      <c r="M22" s="11"/>
      <c r="N22" s="23"/>
      <c r="O22" s="23"/>
    </row>
    <row r="23" spans="1:16" ht="22.5" customHeight="1" x14ac:dyDescent="0.3">
      <c r="B23" s="144" t="s">
        <v>15</v>
      </c>
      <c r="C23" s="145"/>
      <c r="D23" s="10"/>
      <c r="E23" s="10"/>
      <c r="F23" s="11"/>
      <c r="G23" s="11"/>
      <c r="H23" s="11"/>
      <c r="I23" s="11"/>
      <c r="J23" s="10"/>
      <c r="K23" s="11"/>
      <c r="L23" s="10"/>
      <c r="M23" s="11"/>
      <c r="N23" s="11"/>
      <c r="O23" s="11"/>
    </row>
    <row r="24" spans="1:16" x14ac:dyDescent="0.3">
      <c r="B24" s="20" t="s">
        <v>11</v>
      </c>
      <c r="C24" s="41">
        <v>0</v>
      </c>
      <c r="E24" s="24" t="s">
        <v>61</v>
      </c>
      <c r="F24" s="3"/>
      <c r="G24" s="53" t="s">
        <v>56</v>
      </c>
      <c r="H24" s="54"/>
      <c r="I24" s="63" t="s">
        <v>62</v>
      </c>
      <c r="J24" s="55"/>
      <c r="K24" s="49"/>
      <c r="L24" s="56"/>
      <c r="M24" s="49"/>
      <c r="N24" s="49"/>
      <c r="O24" s="49"/>
    </row>
    <row r="25" spans="1:16" x14ac:dyDescent="0.3">
      <c r="B25" s="21" t="s">
        <v>6</v>
      </c>
      <c r="C25" s="37">
        <v>0</v>
      </c>
      <c r="D25" s="25"/>
      <c r="E25" s="19"/>
      <c r="F25" s="61" t="s">
        <v>27</v>
      </c>
      <c r="G25" s="57" t="s">
        <v>60</v>
      </c>
      <c r="H25" s="54"/>
      <c r="I25" s="44" t="s">
        <v>27</v>
      </c>
      <c r="J25" s="45" t="s">
        <v>49</v>
      </c>
      <c r="K25" s="45" t="s">
        <v>50</v>
      </c>
      <c r="L25" s="45"/>
      <c r="M25" s="45" t="s">
        <v>51</v>
      </c>
      <c r="N25" s="46" t="s">
        <v>6</v>
      </c>
      <c r="O25" s="46" t="s">
        <v>7</v>
      </c>
    </row>
    <row r="26" spans="1:16" x14ac:dyDescent="0.3">
      <c r="B26" s="21" t="s">
        <v>7</v>
      </c>
      <c r="C26" s="40">
        <f>ROUND((C24*C25),0)</f>
        <v>0</v>
      </c>
      <c r="D26" s="47" t="s">
        <v>44</v>
      </c>
      <c r="F26" s="58" t="s">
        <v>57</v>
      </c>
      <c r="G26" s="60">
        <v>4231.6499999999996</v>
      </c>
      <c r="H26" s="54"/>
      <c r="I26" s="47" t="s">
        <v>44</v>
      </c>
      <c r="J26" s="48">
        <v>4625</v>
      </c>
      <c r="K26" s="48" t="s">
        <v>52</v>
      </c>
      <c r="L26" s="48">
        <v>307</v>
      </c>
      <c r="M26" s="48">
        <v>4932</v>
      </c>
      <c r="N26" s="49">
        <f>N27*0.7</f>
        <v>35000</v>
      </c>
      <c r="O26" s="49"/>
    </row>
    <row r="27" spans="1:16" x14ac:dyDescent="0.3">
      <c r="B27" s="35"/>
      <c r="C27" s="17"/>
      <c r="D27" s="47" t="s">
        <v>45</v>
      </c>
      <c r="F27" s="58" t="s">
        <v>45</v>
      </c>
      <c r="G27" s="60">
        <f>1331.5+1527.84+2019.33+1095</f>
        <v>5973.67</v>
      </c>
      <c r="H27" s="54"/>
      <c r="I27" s="47" t="s">
        <v>45</v>
      </c>
      <c r="J27" s="48">
        <v>4652.8500000000004</v>
      </c>
      <c r="K27" s="48" t="s">
        <v>53</v>
      </c>
      <c r="L27" s="48">
        <v>1907.38</v>
      </c>
      <c r="M27" s="48">
        <v>6560.23</v>
      </c>
      <c r="N27" s="49">
        <v>50000</v>
      </c>
      <c r="O27" s="49"/>
      <c r="P27" s="1">
        <f>50000*25%</f>
        <v>12500</v>
      </c>
    </row>
    <row r="28" spans="1:16" x14ac:dyDescent="0.3">
      <c r="C28" s="8" t="s">
        <v>22</v>
      </c>
      <c r="D28" s="47" t="s">
        <v>46</v>
      </c>
      <c r="F28" s="58" t="s">
        <v>58</v>
      </c>
      <c r="G28" s="60">
        <v>3711</v>
      </c>
      <c r="H28" s="54"/>
      <c r="I28" s="47" t="s">
        <v>46</v>
      </c>
      <c r="J28" s="48">
        <v>3542.32</v>
      </c>
      <c r="K28" s="48" t="s">
        <v>54</v>
      </c>
      <c r="L28" s="48">
        <v>276.95</v>
      </c>
      <c r="M28" s="48">
        <v>3819.27</v>
      </c>
      <c r="N28" s="49">
        <v>45000</v>
      </c>
      <c r="O28" s="49"/>
    </row>
    <row r="29" spans="1:16" x14ac:dyDescent="0.3">
      <c r="B29" s="2" t="s">
        <v>13</v>
      </c>
      <c r="C29" s="38">
        <f>C4</f>
        <v>311610925</v>
      </c>
      <c r="D29" s="47" t="s">
        <v>47</v>
      </c>
      <c r="F29" s="58" t="s">
        <v>46</v>
      </c>
      <c r="G29" s="60">
        <v>4682.4399999999996</v>
      </c>
      <c r="H29" s="50"/>
      <c r="I29" s="47" t="s">
        <v>47</v>
      </c>
      <c r="J29" s="48">
        <v>5958.73</v>
      </c>
      <c r="K29" s="48" t="s">
        <v>55</v>
      </c>
      <c r="L29" s="48">
        <v>2200.27</v>
      </c>
      <c r="M29" s="48">
        <v>8159</v>
      </c>
      <c r="N29" s="49">
        <v>40000</v>
      </c>
      <c r="O29" s="49"/>
    </row>
    <row r="30" spans="1:16" x14ac:dyDescent="0.3">
      <c r="B30" s="2" t="s">
        <v>14</v>
      </c>
      <c r="C30" s="38">
        <f>N16</f>
        <v>17319007</v>
      </c>
      <c r="D30" s="47" t="s">
        <v>48</v>
      </c>
      <c r="F30" s="58" t="s">
        <v>59</v>
      </c>
      <c r="G30" s="60">
        <v>1643.87</v>
      </c>
      <c r="H30" s="50"/>
      <c r="I30" s="47" t="s">
        <v>48</v>
      </c>
      <c r="J30" s="48">
        <v>1643.87</v>
      </c>
      <c r="K30" s="48"/>
      <c r="L30" s="48"/>
      <c r="M30" s="48">
        <v>1643.87</v>
      </c>
      <c r="N30" s="49"/>
      <c r="O30" s="49"/>
    </row>
    <row r="31" spans="1:16" x14ac:dyDescent="0.3">
      <c r="B31" s="2" t="s">
        <v>21</v>
      </c>
      <c r="C31" s="38">
        <f>C21</f>
        <v>0</v>
      </c>
      <c r="D31" s="17"/>
      <c r="E31" s="17"/>
      <c r="F31" s="59"/>
      <c r="G31" s="62">
        <f>SUM(G26:G30)</f>
        <v>20242.629999999997</v>
      </c>
      <c r="H31" s="50"/>
      <c r="I31" s="50"/>
      <c r="J31" s="51">
        <f>SUM(J26:J30)</f>
        <v>20422.77</v>
      </c>
      <c r="K31" s="52"/>
      <c r="L31" s="52">
        <f>SUM(L26:L30)</f>
        <v>4691.6000000000004</v>
      </c>
      <c r="M31" s="52">
        <f>SUM(M26:M30)</f>
        <v>25114.37</v>
      </c>
      <c r="N31" s="49">
        <v>12500</v>
      </c>
      <c r="O31" s="49"/>
    </row>
    <row r="32" spans="1:16" x14ac:dyDescent="0.3">
      <c r="A32" s="1"/>
      <c r="B32" s="2" t="s">
        <v>12</v>
      </c>
      <c r="C32" s="38">
        <f>C26</f>
        <v>0</v>
      </c>
      <c r="D32" s="17"/>
      <c r="E32" s="17"/>
      <c r="F32" s="17"/>
      <c r="G32" s="17"/>
      <c r="H32" s="18"/>
      <c r="I32" s="18"/>
      <c r="L32" s="18"/>
    </row>
    <row r="33" spans="1:15" x14ac:dyDescent="0.3">
      <c r="A33" s="1"/>
      <c r="B33" s="12" t="s">
        <v>8</v>
      </c>
      <c r="C33" s="42">
        <f>C29+C30+C31+C32</f>
        <v>328929932</v>
      </c>
      <c r="D33" s="16"/>
      <c r="F33" s="16"/>
    </row>
    <row r="34" spans="1:15" x14ac:dyDescent="0.3">
      <c r="A34" s="1"/>
      <c r="B34" s="12" t="s">
        <v>9</v>
      </c>
      <c r="C34" s="42">
        <f>MROUND(C33*90%,1)</f>
        <v>296036939</v>
      </c>
      <c r="D34" s="18"/>
      <c r="F34" s="16"/>
      <c r="H34" s="28"/>
      <c r="I34" s="28"/>
    </row>
    <row r="35" spans="1:15" x14ac:dyDescent="0.3">
      <c r="A35" s="1"/>
      <c r="B35" s="12" t="s">
        <v>10</v>
      </c>
      <c r="C35" s="42">
        <f>MROUND(C33*80%,1)</f>
        <v>263143946</v>
      </c>
      <c r="D35" s="18"/>
      <c r="F35" s="16"/>
      <c r="H35" s="28"/>
      <c r="I35" s="28"/>
    </row>
    <row r="36" spans="1:15" x14ac:dyDescent="0.3">
      <c r="A36" s="1"/>
      <c r="B36" s="2" t="s">
        <v>24</v>
      </c>
      <c r="C36" s="38">
        <f>O16</f>
        <v>19680690</v>
      </c>
      <c r="D36" s="26"/>
      <c r="O36" s="29"/>
    </row>
    <row r="37" spans="1:15" x14ac:dyDescent="0.3">
      <c r="A37" s="1"/>
      <c r="B37" s="12" t="s">
        <v>40</v>
      </c>
      <c r="C37" s="43">
        <f>MROUND(C36*0.85,1)</f>
        <v>16728587</v>
      </c>
      <c r="J37" s="6"/>
      <c r="O37" s="29"/>
    </row>
    <row r="38" spans="1:15" x14ac:dyDescent="0.3">
      <c r="A38" s="1"/>
      <c r="J38" s="6"/>
      <c r="O38" s="29"/>
    </row>
    <row r="39" spans="1:15" x14ac:dyDescent="0.3">
      <c r="A39" s="1"/>
      <c r="J39" s="6"/>
      <c r="L39" s="30"/>
      <c r="O39" s="29"/>
    </row>
    <row r="40" spans="1:15" x14ac:dyDescent="0.3">
      <c r="A40" s="1"/>
      <c r="J40" s="6"/>
      <c r="L40" s="6" t="s">
        <v>24</v>
      </c>
      <c r="N40" s="6" t="s">
        <v>83</v>
      </c>
      <c r="O40" s="29"/>
    </row>
    <row r="41" spans="1:15" x14ac:dyDescent="0.3">
      <c r="A41" s="1"/>
      <c r="B41" s="47" t="s">
        <v>44</v>
      </c>
      <c r="D41" s="48">
        <v>4932</v>
      </c>
      <c r="E41" s="1">
        <f>E42*0.7</f>
        <v>35098</v>
      </c>
      <c r="F41" s="94">
        <v>35098</v>
      </c>
      <c r="G41" s="92">
        <f>MROUND(D41*F41,1)</f>
        <v>173103336</v>
      </c>
      <c r="I41" s="49">
        <f>I42*0.7</f>
        <v>35000</v>
      </c>
      <c r="J41" s="6"/>
      <c r="K41" s="93">
        <v>3000</v>
      </c>
      <c r="L41" s="95">
        <f>D41*K41</f>
        <v>14796000</v>
      </c>
      <c r="M41" s="93">
        <v>20373</v>
      </c>
      <c r="N41" s="93">
        <f>MROUND(D41*M41,1)</f>
        <v>100479636</v>
      </c>
      <c r="O41" s="29"/>
    </row>
    <row r="42" spans="1:15" x14ac:dyDescent="0.3">
      <c r="A42" s="1"/>
      <c r="B42" s="47" t="s">
        <v>45</v>
      </c>
      <c r="D42" s="48">
        <v>6560.23</v>
      </c>
      <c r="E42" s="1">
        <v>50140</v>
      </c>
      <c r="F42" s="94">
        <v>50140</v>
      </c>
      <c r="G42" s="92">
        <f t="shared" ref="G42:G49" si="23">MROUND(D42*F42,1)</f>
        <v>328929932</v>
      </c>
      <c r="I42" s="49">
        <v>50000</v>
      </c>
      <c r="J42" s="6"/>
      <c r="K42" s="93">
        <v>3000</v>
      </c>
      <c r="L42" s="95">
        <f t="shared" ref="L42:L44" si="24">D42*K42</f>
        <v>19680690</v>
      </c>
      <c r="M42" s="93">
        <v>28704</v>
      </c>
      <c r="N42" s="93">
        <f t="shared" ref="N42:N44" si="25">MROUND(D42*M42,1)</f>
        <v>188304842</v>
      </c>
      <c r="O42" s="29"/>
    </row>
    <row r="43" spans="1:15" x14ac:dyDescent="0.3">
      <c r="A43" s="1"/>
      <c r="B43" s="47" t="s">
        <v>46</v>
      </c>
      <c r="D43" s="48">
        <v>3819.27</v>
      </c>
      <c r="E43" s="1">
        <f>E42*F43/F42</f>
        <v>45126</v>
      </c>
      <c r="F43" s="94">
        <v>45126</v>
      </c>
      <c r="G43" s="92">
        <f t="shared" si="23"/>
        <v>172348378</v>
      </c>
      <c r="I43" s="49">
        <v>45000</v>
      </c>
      <c r="K43" s="93">
        <v>3000</v>
      </c>
      <c r="L43" s="95">
        <f t="shared" si="24"/>
        <v>11457810</v>
      </c>
      <c r="M43" s="93">
        <v>24151</v>
      </c>
      <c r="N43" s="93">
        <f t="shared" si="25"/>
        <v>92239190</v>
      </c>
      <c r="O43" s="29"/>
    </row>
    <row r="44" spans="1:15" x14ac:dyDescent="0.3">
      <c r="A44" s="1"/>
      <c r="B44" s="47" t="s">
        <v>47</v>
      </c>
      <c r="D44" s="48">
        <v>8159</v>
      </c>
      <c r="E44" s="1">
        <f>E42*F44/F42</f>
        <v>40112</v>
      </c>
      <c r="F44" s="94">
        <v>40112</v>
      </c>
      <c r="G44" s="92">
        <f t="shared" si="23"/>
        <v>327273808</v>
      </c>
      <c r="I44" s="49">
        <v>40000</v>
      </c>
      <c r="K44" s="93">
        <v>3000</v>
      </c>
      <c r="L44" s="95">
        <f t="shared" si="24"/>
        <v>24477000</v>
      </c>
      <c r="M44" s="93">
        <v>24151</v>
      </c>
      <c r="N44" s="93">
        <f t="shared" si="25"/>
        <v>197048009</v>
      </c>
      <c r="O44" s="29"/>
    </row>
    <row r="45" spans="1:15" ht="17.25" thickBot="1" x14ac:dyDescent="0.35">
      <c r="A45" s="1"/>
      <c r="B45" s="101" t="s">
        <v>87</v>
      </c>
      <c r="D45" s="102">
        <v>0</v>
      </c>
      <c r="F45" s="103">
        <v>0</v>
      </c>
      <c r="G45" s="92">
        <f>D45*F45</f>
        <v>0</v>
      </c>
      <c r="K45" s="93"/>
      <c r="L45" s="95"/>
      <c r="M45" s="93"/>
      <c r="N45" s="93"/>
      <c r="O45" s="29"/>
    </row>
    <row r="46" spans="1:15" ht="33.75" thickBot="1" x14ac:dyDescent="0.35">
      <c r="A46" s="1"/>
      <c r="B46" s="83" t="s">
        <v>27</v>
      </c>
      <c r="C46" s="84" t="s">
        <v>77</v>
      </c>
      <c r="D46" s="85" t="s">
        <v>49</v>
      </c>
      <c r="G46" s="92"/>
      <c r="L46" s="96">
        <f>SUM(L41:L44)</f>
        <v>70411500</v>
      </c>
      <c r="N46" s="92">
        <f>SUM(N41:N44)</f>
        <v>578071677</v>
      </c>
      <c r="O46" s="29"/>
    </row>
    <row r="47" spans="1:15" ht="17.25" thickBot="1" x14ac:dyDescent="0.35">
      <c r="A47" s="1"/>
      <c r="B47" s="86" t="s">
        <v>78</v>
      </c>
      <c r="C47" s="87" t="s">
        <v>79</v>
      </c>
      <c r="D47" s="88">
        <v>1135</v>
      </c>
      <c r="E47" s="1">
        <f>D47/7</f>
        <v>162.14285714285714</v>
      </c>
      <c r="F47" s="93">
        <v>12500</v>
      </c>
      <c r="G47" s="92">
        <f t="shared" si="23"/>
        <v>14187500</v>
      </c>
      <c r="K47" s="139" t="s">
        <v>27</v>
      </c>
      <c r="L47" s="77" t="s">
        <v>68</v>
      </c>
      <c r="M47" s="77" t="s">
        <v>70</v>
      </c>
      <c r="N47" s="141" t="s">
        <v>71</v>
      </c>
    </row>
    <row r="48" spans="1:15" ht="17.25" thickBot="1" x14ac:dyDescent="0.35">
      <c r="A48" s="1"/>
      <c r="B48" s="86" t="s">
        <v>80</v>
      </c>
      <c r="C48" s="87" t="s">
        <v>81</v>
      </c>
      <c r="D48" s="88">
        <v>2726</v>
      </c>
      <c r="E48" s="1">
        <f>D48/18</f>
        <v>151.44444444444446</v>
      </c>
      <c r="F48" s="93">
        <v>12500</v>
      </c>
      <c r="G48" s="92">
        <f t="shared" si="23"/>
        <v>34075000</v>
      </c>
      <c r="K48" s="140"/>
      <c r="L48" s="78" t="s">
        <v>69</v>
      </c>
      <c r="M48" s="78" t="s">
        <v>63</v>
      </c>
      <c r="N48" s="142"/>
    </row>
    <row r="49" spans="1:15" ht="43.5" thickBot="1" x14ac:dyDescent="0.35">
      <c r="A49" s="1"/>
      <c r="B49" s="89" t="s">
        <v>82</v>
      </c>
      <c r="C49" s="90"/>
      <c r="D49" s="91">
        <v>3861</v>
      </c>
      <c r="G49" s="92">
        <f t="shared" si="23"/>
        <v>0</v>
      </c>
      <c r="K49" s="80" t="s">
        <v>72</v>
      </c>
      <c r="L49" s="69">
        <v>227430</v>
      </c>
      <c r="M49" s="69">
        <v>324900</v>
      </c>
      <c r="N49" s="69">
        <v>271640</v>
      </c>
    </row>
    <row r="50" spans="1:15" ht="17.25" thickBot="1" x14ac:dyDescent="0.35">
      <c r="A50" s="1"/>
      <c r="B50" s="1"/>
      <c r="F50" s="97" t="s">
        <v>84</v>
      </c>
      <c r="G50" s="100">
        <f>SUM(G41:G49)</f>
        <v>1049917954</v>
      </c>
      <c r="K50" s="81" t="s">
        <v>64</v>
      </c>
      <c r="L50" s="67">
        <v>0</v>
      </c>
      <c r="M50" s="67"/>
      <c r="N50" s="67"/>
    </row>
    <row r="51" spans="1:15" ht="27.75" thickBot="1" x14ac:dyDescent="0.35">
      <c r="A51" s="1"/>
      <c r="F51" s="98" t="s">
        <v>85</v>
      </c>
      <c r="G51" s="45">
        <f>MROUND(G50*0.9,1)</f>
        <v>944926159</v>
      </c>
      <c r="I51" s="93">
        <v>1238781950</v>
      </c>
      <c r="K51" s="75" t="s">
        <v>65</v>
      </c>
      <c r="L51" s="72">
        <v>227430</v>
      </c>
      <c r="M51" s="72">
        <v>324900</v>
      </c>
      <c r="N51" s="72">
        <v>271640</v>
      </c>
    </row>
    <row r="52" spans="1:15" ht="17.25" thickBot="1" x14ac:dyDescent="0.35">
      <c r="A52" s="1"/>
      <c r="F52" s="98" t="s">
        <v>86</v>
      </c>
      <c r="G52" s="45">
        <f>MROUND(G50*0.8,1)</f>
        <v>839934363</v>
      </c>
      <c r="I52" s="92">
        <f>I51-G50</f>
        <v>188863996</v>
      </c>
      <c r="K52" s="80" t="s">
        <v>66</v>
      </c>
      <c r="L52" s="69">
        <v>125720</v>
      </c>
      <c r="M52" s="69">
        <v>125720</v>
      </c>
      <c r="N52" s="69">
        <v>125720</v>
      </c>
    </row>
    <row r="53" spans="1:15" ht="17.25" thickBot="1" x14ac:dyDescent="0.35">
      <c r="A53" s="1"/>
      <c r="F53" s="43" t="s">
        <v>40</v>
      </c>
      <c r="G53" s="99">
        <v>70411500</v>
      </c>
      <c r="I53" s="6">
        <f>G50/I51</f>
        <v>0.84754056514950027</v>
      </c>
      <c r="K53" s="80" t="s">
        <v>67</v>
      </c>
      <c r="L53" s="69">
        <f>L51-L52</f>
        <v>101710</v>
      </c>
      <c r="M53" s="69">
        <f t="shared" ref="M53:N53" si="26">M51-M52</f>
        <v>199180</v>
      </c>
      <c r="N53" s="69">
        <f t="shared" si="26"/>
        <v>145920</v>
      </c>
    </row>
    <row r="54" spans="1:15" x14ac:dyDescent="0.3">
      <c r="A54" s="1"/>
      <c r="K54" s="82" t="s">
        <v>73</v>
      </c>
      <c r="L54" s="146">
        <v>0.92</v>
      </c>
      <c r="M54" s="146">
        <v>0.92</v>
      </c>
      <c r="N54" s="146">
        <v>0.92</v>
      </c>
    </row>
    <row r="55" spans="1:15" ht="17.25" thickBot="1" x14ac:dyDescent="0.35">
      <c r="A55" s="1"/>
      <c r="K55" s="80" t="s">
        <v>74</v>
      </c>
      <c r="L55" s="147"/>
      <c r="M55" s="147"/>
      <c r="N55" s="147"/>
    </row>
    <row r="56" spans="1:15" ht="29.25" thickBot="1" x14ac:dyDescent="0.35">
      <c r="A56" s="1"/>
      <c r="K56" s="79" t="s">
        <v>75</v>
      </c>
      <c r="L56" s="72">
        <f>L52+(L53*92%)</f>
        <v>219293.2</v>
      </c>
      <c r="M56" s="72">
        <f t="shared" ref="M56:N56" si="27">M52+(M53*92%)</f>
        <v>308965.59999999998</v>
      </c>
      <c r="N56" s="72">
        <f t="shared" si="27"/>
        <v>259966.4</v>
      </c>
    </row>
    <row r="57" spans="1:15" ht="29.25" thickBot="1" x14ac:dyDescent="0.35">
      <c r="A57" s="1"/>
      <c r="B57" s="1"/>
      <c r="K57" s="79" t="s">
        <v>76</v>
      </c>
      <c r="L57" s="72">
        <f>MROUND(L56/10.764,1)</f>
        <v>20373</v>
      </c>
      <c r="M57" s="72">
        <f t="shared" ref="M57:N57" si="28">MROUND(M56/10.764,1)</f>
        <v>28704</v>
      </c>
      <c r="N57" s="72">
        <f t="shared" si="28"/>
        <v>24151</v>
      </c>
    </row>
    <row r="58" spans="1:15" ht="17.25" thickBot="1" x14ac:dyDescent="0.35">
      <c r="A58" s="1"/>
      <c r="B58" s="1"/>
      <c r="F58" s="31"/>
      <c r="G58" s="31"/>
      <c r="H58" s="31"/>
      <c r="I58" s="31"/>
      <c r="J58" s="12"/>
    </row>
    <row r="59" spans="1:15" x14ac:dyDescent="0.3">
      <c r="A59" s="1"/>
      <c r="B59" s="1"/>
      <c r="F59" s="29"/>
      <c r="G59" s="1"/>
      <c r="H59" s="29"/>
      <c r="I59" s="29"/>
      <c r="K59" s="139"/>
      <c r="L59" s="64"/>
      <c r="M59" s="66"/>
      <c r="N59" s="137"/>
      <c r="O59" s="137"/>
    </row>
    <row r="60" spans="1:15" ht="17.25" thickBot="1" x14ac:dyDescent="0.35">
      <c r="A60" s="1"/>
      <c r="B60" s="1"/>
      <c r="F60" s="29"/>
      <c r="G60" s="29"/>
      <c r="H60" s="32"/>
      <c r="I60" s="32"/>
      <c r="K60" s="140"/>
      <c r="L60" s="65"/>
      <c r="M60" s="67"/>
      <c r="N60" s="138"/>
      <c r="O60" s="138"/>
    </row>
    <row r="61" spans="1:15" ht="17.25" thickBot="1" x14ac:dyDescent="0.35">
      <c r="A61" s="1"/>
      <c r="B61" s="1"/>
      <c r="F61" s="29"/>
      <c r="G61" s="29"/>
      <c r="H61" s="29"/>
      <c r="I61" s="29"/>
      <c r="K61" s="68"/>
      <c r="L61" s="69"/>
      <c r="M61" s="76"/>
      <c r="N61" s="72"/>
      <c r="O61" s="67"/>
    </row>
    <row r="62" spans="1:15" ht="17.25" thickBot="1" x14ac:dyDescent="0.35">
      <c r="A62" s="1"/>
      <c r="B62" s="1"/>
      <c r="F62" s="29"/>
      <c r="G62" s="33"/>
      <c r="H62" s="29"/>
      <c r="I62" s="29"/>
      <c r="K62" s="70"/>
      <c r="L62" s="67"/>
      <c r="M62" s="67"/>
      <c r="N62" s="67"/>
      <c r="O62" s="67"/>
    </row>
    <row r="63" spans="1:15" ht="17.25" thickBot="1" x14ac:dyDescent="0.35">
      <c r="A63" s="1"/>
      <c r="B63" s="1"/>
      <c r="F63" s="29"/>
      <c r="G63" s="29"/>
      <c r="H63" s="29"/>
      <c r="I63" s="29"/>
      <c r="K63" s="71"/>
      <c r="L63" s="72"/>
      <c r="M63" s="73"/>
      <c r="N63" s="72"/>
      <c r="O63" s="73"/>
    </row>
    <row r="64" spans="1:15" ht="17.25" thickBot="1" x14ac:dyDescent="0.35">
      <c r="A64" s="1"/>
      <c r="B64" s="1"/>
      <c r="F64" s="29"/>
      <c r="G64" s="29"/>
      <c r="H64" s="29"/>
      <c r="I64" s="29"/>
      <c r="K64" s="68"/>
      <c r="L64" s="69"/>
      <c r="M64" s="67"/>
      <c r="N64" s="67"/>
      <c r="O64" s="67"/>
    </row>
    <row r="65" spans="1:15" ht="17.25" thickBot="1" x14ac:dyDescent="0.35">
      <c r="A65" s="1"/>
      <c r="B65" s="1"/>
      <c r="F65" s="29"/>
      <c r="G65" s="29"/>
      <c r="H65" s="29"/>
      <c r="I65" s="29"/>
      <c r="K65" s="68"/>
      <c r="L65" s="69"/>
      <c r="M65" s="67"/>
      <c r="N65" s="67"/>
      <c r="O65" s="67"/>
    </row>
    <row r="66" spans="1:15" x14ac:dyDescent="0.3">
      <c r="A66" s="1"/>
      <c r="B66" s="1"/>
      <c r="F66" s="29"/>
      <c r="G66" s="29"/>
      <c r="H66" s="29"/>
      <c r="I66" s="29"/>
      <c r="K66" s="74"/>
      <c r="L66" s="146"/>
      <c r="M66" s="137"/>
      <c r="N66" s="137"/>
      <c r="O66" s="137"/>
    </row>
    <row r="67" spans="1:15" ht="17.25" thickBot="1" x14ac:dyDescent="0.35">
      <c r="A67" s="1"/>
      <c r="B67" s="1"/>
      <c r="F67" s="29"/>
      <c r="G67" s="29"/>
      <c r="H67" s="29"/>
      <c r="I67" s="29"/>
      <c r="K67" s="68"/>
      <c r="L67" s="147"/>
      <c r="M67" s="138"/>
      <c r="N67" s="138"/>
      <c r="O67" s="138"/>
    </row>
    <row r="68" spans="1:15" ht="17.25" thickBot="1" x14ac:dyDescent="0.35">
      <c r="A68" s="1"/>
      <c r="B68" s="1"/>
      <c r="F68" s="29"/>
      <c r="G68" s="29"/>
      <c r="H68" s="29"/>
      <c r="I68" s="29"/>
      <c r="K68" s="75"/>
      <c r="L68" s="72"/>
      <c r="M68" s="73"/>
      <c r="N68" s="72"/>
      <c r="O68" s="73"/>
    </row>
    <row r="69" spans="1:15" x14ac:dyDescent="0.3">
      <c r="A69" s="1"/>
      <c r="B69" s="1"/>
    </row>
    <row r="70" spans="1:15" x14ac:dyDescent="0.3">
      <c r="A70" s="1"/>
      <c r="B70" s="1"/>
    </row>
    <row r="71" spans="1:15" x14ac:dyDescent="0.3">
      <c r="A71" s="1"/>
      <c r="B71" s="1"/>
    </row>
    <row r="72" spans="1:15" x14ac:dyDescent="0.3">
      <c r="A72" s="1"/>
      <c r="B72" s="1"/>
    </row>
    <row r="73" spans="1:15" x14ac:dyDescent="0.3">
      <c r="A73" s="1"/>
      <c r="B73" s="1"/>
    </row>
    <row r="74" spans="1:15" x14ac:dyDescent="0.3">
      <c r="A74" s="1"/>
      <c r="B74" s="1"/>
      <c r="F74" s="34"/>
    </row>
    <row r="75" spans="1:15" x14ac:dyDescent="0.3">
      <c r="A75" s="1"/>
      <c r="B75" s="1"/>
      <c r="F75" s="34"/>
    </row>
    <row r="76" spans="1:15" x14ac:dyDescent="0.3">
      <c r="A76" s="1"/>
      <c r="B76" s="1"/>
      <c r="F76" s="34"/>
    </row>
    <row r="77" spans="1:15" x14ac:dyDescent="0.3">
      <c r="A77" s="1"/>
      <c r="B77" s="1"/>
      <c r="F77" s="34"/>
    </row>
    <row r="78" spans="1:15" x14ac:dyDescent="0.3">
      <c r="A78" s="1"/>
      <c r="B78" s="1"/>
      <c r="F78" s="34"/>
    </row>
    <row r="79" spans="1:15" x14ac:dyDescent="0.3">
      <c r="A79" s="1"/>
      <c r="B79" s="1"/>
      <c r="F79" s="34"/>
    </row>
    <row r="80" spans="1:15" x14ac:dyDescent="0.3">
      <c r="A80" s="1"/>
      <c r="B80" s="1"/>
      <c r="F80" s="34"/>
    </row>
    <row r="81" spans="1:12" x14ac:dyDescent="0.3">
      <c r="A81" s="1"/>
      <c r="B81" s="1"/>
      <c r="F81" s="34"/>
    </row>
    <row r="82" spans="1:12" x14ac:dyDescent="0.3">
      <c r="A82" s="1"/>
      <c r="B82" s="1"/>
      <c r="F82" s="34"/>
    </row>
    <row r="83" spans="1:12" x14ac:dyDescent="0.3">
      <c r="A83" s="1"/>
      <c r="B83" s="1"/>
      <c r="F83" s="34"/>
    </row>
    <row r="84" spans="1:12" x14ac:dyDescent="0.3">
      <c r="A84" s="1"/>
      <c r="B84" s="1"/>
    </row>
    <row r="85" spans="1:12" x14ac:dyDescent="0.3">
      <c r="A85" s="1"/>
      <c r="B85" s="1"/>
    </row>
    <row r="86" spans="1:12" x14ac:dyDescent="0.3">
      <c r="A86" s="1"/>
      <c r="B86" s="1"/>
    </row>
    <row r="87" spans="1:12" x14ac:dyDescent="0.3">
      <c r="A87" s="1"/>
      <c r="B87" s="1"/>
      <c r="L87" s="16"/>
    </row>
    <row r="88" spans="1:12" x14ac:dyDescent="0.3">
      <c r="A88" s="1"/>
      <c r="B88" s="1"/>
      <c r="L88" s="16"/>
    </row>
    <row r="89" spans="1:12" x14ac:dyDescent="0.3">
      <c r="A89" s="1"/>
      <c r="B89" s="1"/>
    </row>
    <row r="90" spans="1:12" x14ac:dyDescent="0.3">
      <c r="A90" s="1"/>
      <c r="B90" s="1"/>
    </row>
    <row r="91" spans="1:12" x14ac:dyDescent="0.3">
      <c r="A91" s="1"/>
      <c r="B91" s="1"/>
    </row>
    <row r="92" spans="1:12" x14ac:dyDescent="0.3">
      <c r="A92" s="1"/>
      <c r="B92" s="1"/>
    </row>
    <row r="93" spans="1:12" x14ac:dyDescent="0.3">
      <c r="A93" s="1"/>
      <c r="B93" s="1"/>
    </row>
    <row r="94" spans="1:12" x14ac:dyDescent="0.3">
      <c r="A94" s="1"/>
      <c r="B94" s="1"/>
    </row>
    <row r="95" spans="1:12" x14ac:dyDescent="0.3">
      <c r="A95" s="1"/>
      <c r="B95" s="1"/>
    </row>
    <row r="96" spans="1:12" x14ac:dyDescent="0.3">
      <c r="A96" s="1"/>
      <c r="B96" s="1"/>
    </row>
    <row r="97" spans="1:2" x14ac:dyDescent="0.3">
      <c r="A97" s="1"/>
      <c r="B97" s="1"/>
    </row>
    <row r="98" spans="1:2" x14ac:dyDescent="0.3">
      <c r="A98" s="1"/>
      <c r="B98" s="1"/>
    </row>
    <row r="99" spans="1:2" x14ac:dyDescent="0.3">
      <c r="A99" s="1"/>
      <c r="B99" s="1"/>
    </row>
    <row r="100" spans="1:2" x14ac:dyDescent="0.3">
      <c r="A100" s="1"/>
      <c r="B100" s="1"/>
    </row>
    <row r="101" spans="1:2" x14ac:dyDescent="0.3">
      <c r="A101" s="1"/>
      <c r="B101" s="1"/>
    </row>
    <row r="102" spans="1:2" x14ac:dyDescent="0.3">
      <c r="A102" s="1"/>
      <c r="B102" s="1"/>
    </row>
    <row r="103" spans="1:2" x14ac:dyDescent="0.3">
      <c r="A103" s="1"/>
      <c r="B103" s="1"/>
    </row>
    <row r="104" spans="1:2" x14ac:dyDescent="0.3">
      <c r="A104" s="1"/>
      <c r="B104" s="1"/>
    </row>
    <row r="105" spans="1:2" x14ac:dyDescent="0.3">
      <c r="A105" s="1"/>
      <c r="B105" s="1"/>
    </row>
    <row r="106" spans="1:2" x14ac:dyDescent="0.3">
      <c r="A106" s="1"/>
      <c r="B106" s="1"/>
    </row>
    <row r="107" spans="1:2" x14ac:dyDescent="0.3">
      <c r="A107" s="1"/>
      <c r="B107" s="1"/>
    </row>
    <row r="108" spans="1:2" x14ac:dyDescent="0.3">
      <c r="A108" s="1"/>
      <c r="B108" s="1"/>
    </row>
    <row r="109" spans="1:2" x14ac:dyDescent="0.3">
      <c r="A109" s="1"/>
      <c r="B109" s="1"/>
    </row>
    <row r="110" spans="1:2" x14ac:dyDescent="0.3">
      <c r="A110" s="1"/>
      <c r="B110" s="1"/>
    </row>
    <row r="111" spans="1:2" x14ac:dyDescent="0.3">
      <c r="A111" s="1"/>
      <c r="B111" s="1"/>
    </row>
    <row r="112" spans="1:2" x14ac:dyDescent="0.3">
      <c r="A112" s="1"/>
      <c r="B112" s="1"/>
    </row>
    <row r="113" spans="1:2" x14ac:dyDescent="0.3">
      <c r="A113" s="1"/>
      <c r="B113" s="1"/>
    </row>
    <row r="114" spans="1:2" x14ac:dyDescent="0.3">
      <c r="A114" s="1"/>
      <c r="B114" s="1"/>
    </row>
    <row r="115" spans="1:2" x14ac:dyDescent="0.3">
      <c r="A115" s="1"/>
      <c r="B115" s="1"/>
    </row>
    <row r="116" spans="1:2" x14ac:dyDescent="0.3">
      <c r="A116" s="1"/>
      <c r="B116" s="1"/>
    </row>
    <row r="117" spans="1:2" x14ac:dyDescent="0.3">
      <c r="A117" s="1"/>
      <c r="B117" s="1"/>
    </row>
    <row r="118" spans="1:2" x14ac:dyDescent="0.3">
      <c r="A118" s="1"/>
      <c r="B118" s="1"/>
    </row>
    <row r="119" spans="1:2" x14ac:dyDescent="0.3">
      <c r="A119" s="1"/>
      <c r="B119" s="1"/>
    </row>
    <row r="120" spans="1:2" x14ac:dyDescent="0.3">
      <c r="A120" s="1"/>
      <c r="B120" s="1"/>
    </row>
    <row r="121" spans="1:2" x14ac:dyDescent="0.3">
      <c r="A121" s="1"/>
      <c r="B121" s="1"/>
    </row>
    <row r="122" spans="1:2" x14ac:dyDescent="0.3">
      <c r="A122" s="1"/>
      <c r="B122" s="1"/>
    </row>
    <row r="123" spans="1:2" x14ac:dyDescent="0.3">
      <c r="A123" s="1"/>
      <c r="B123" s="1"/>
    </row>
    <row r="124" spans="1:2" x14ac:dyDescent="0.3">
      <c r="A124" s="1"/>
      <c r="B124" s="1"/>
    </row>
    <row r="125" spans="1:2" x14ac:dyDescent="0.3">
      <c r="A125" s="1"/>
      <c r="B125" s="1"/>
    </row>
    <row r="126" spans="1:2" x14ac:dyDescent="0.3">
      <c r="A126" s="1"/>
      <c r="B126" s="1"/>
    </row>
    <row r="127" spans="1:2" x14ac:dyDescent="0.3">
      <c r="A127" s="1"/>
      <c r="B127" s="1"/>
    </row>
    <row r="128" spans="1:2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2" x14ac:dyDescent="0.3">
      <c r="A145" s="1"/>
      <c r="B145" s="1"/>
    </row>
    <row r="146" spans="1:2" x14ac:dyDescent="0.3">
      <c r="A146" s="1"/>
      <c r="B146" s="1"/>
    </row>
    <row r="147" spans="1:2" x14ac:dyDescent="0.3">
      <c r="A147" s="1"/>
      <c r="B147" s="1"/>
    </row>
    <row r="148" spans="1:2" x14ac:dyDescent="0.3">
      <c r="A148" s="1"/>
      <c r="B148" s="1"/>
    </row>
    <row r="149" spans="1:2" x14ac:dyDescent="0.3">
      <c r="A149" s="1"/>
      <c r="B149" s="1"/>
    </row>
    <row r="150" spans="1:2" x14ac:dyDescent="0.3">
      <c r="A150" s="1"/>
      <c r="B150" s="1"/>
    </row>
    <row r="151" spans="1:2" x14ac:dyDescent="0.3">
      <c r="A151" s="1"/>
      <c r="B151" s="1"/>
    </row>
    <row r="152" spans="1:2" x14ac:dyDescent="0.3">
      <c r="A152" s="1"/>
      <c r="B152" s="1"/>
    </row>
    <row r="153" spans="1:2" x14ac:dyDescent="0.3">
      <c r="A153" s="1"/>
      <c r="B153" s="1"/>
    </row>
    <row r="154" spans="1:2" x14ac:dyDescent="0.3">
      <c r="A154" s="1"/>
      <c r="B154" s="1"/>
    </row>
    <row r="155" spans="1:2" x14ac:dyDescent="0.3">
      <c r="A155" s="1"/>
      <c r="B155" s="1"/>
    </row>
    <row r="156" spans="1:2" x14ac:dyDescent="0.3">
      <c r="A156" s="1"/>
      <c r="B156" s="1"/>
    </row>
    <row r="157" spans="1:2" x14ac:dyDescent="0.3">
      <c r="A157" s="1"/>
      <c r="B157" s="1"/>
    </row>
    <row r="158" spans="1:2" x14ac:dyDescent="0.3">
      <c r="A158" s="1"/>
      <c r="B158" s="1"/>
    </row>
    <row r="159" spans="1:2" x14ac:dyDescent="0.3">
      <c r="A159" s="1"/>
      <c r="B159" s="1"/>
    </row>
    <row r="160" spans="1:2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  <row r="165" spans="1:2" x14ac:dyDescent="0.3">
      <c r="A165" s="1"/>
      <c r="B165" s="1"/>
    </row>
    <row r="166" spans="1:2" x14ac:dyDescent="0.3">
      <c r="A166" s="1"/>
      <c r="B166" s="1"/>
    </row>
    <row r="167" spans="1:2" x14ac:dyDescent="0.3">
      <c r="A167" s="1"/>
      <c r="B167" s="1"/>
    </row>
    <row r="168" spans="1:2" x14ac:dyDescent="0.3">
      <c r="A168" s="1"/>
      <c r="B168" s="1"/>
    </row>
    <row r="169" spans="1:2" x14ac:dyDescent="0.3">
      <c r="A169" s="1"/>
      <c r="B169" s="1"/>
    </row>
    <row r="170" spans="1:2" x14ac:dyDescent="0.3">
      <c r="A170" s="1"/>
      <c r="B170" s="1"/>
    </row>
    <row r="171" spans="1:2" x14ac:dyDescent="0.3">
      <c r="A171" s="1"/>
      <c r="B171" s="1"/>
    </row>
    <row r="172" spans="1:2" x14ac:dyDescent="0.3">
      <c r="A172" s="1"/>
      <c r="B172" s="1"/>
    </row>
    <row r="173" spans="1:2" x14ac:dyDescent="0.3">
      <c r="A173" s="1"/>
      <c r="B173" s="1"/>
    </row>
    <row r="174" spans="1:2" x14ac:dyDescent="0.3">
      <c r="A174" s="1"/>
      <c r="B174" s="1"/>
    </row>
  </sheetData>
  <mergeCells count="14">
    <mergeCell ref="O66:O67"/>
    <mergeCell ref="K47:K48"/>
    <mergeCell ref="N47:N48"/>
    <mergeCell ref="B18:C18"/>
    <mergeCell ref="B23:C23"/>
    <mergeCell ref="K59:K60"/>
    <mergeCell ref="N59:N60"/>
    <mergeCell ref="O59:O60"/>
    <mergeCell ref="L54:L55"/>
    <mergeCell ref="M54:M55"/>
    <mergeCell ref="N54:N55"/>
    <mergeCell ref="L66:L67"/>
    <mergeCell ref="M66:M67"/>
    <mergeCell ref="N66:N67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DB664-269A-407C-AC34-6AF86E57C333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9B01C-ADC4-401D-91AC-C19CBC23AA5D}">
  <dimension ref="A1:S174"/>
  <sheetViews>
    <sheetView workbookViewId="0">
      <selection sqref="A1:XFD1048576"/>
    </sheetView>
  </sheetViews>
  <sheetFormatPr defaultRowHeight="16.5" x14ac:dyDescent="0.3"/>
  <cols>
    <col min="1" max="1" width="12.140625" style="35" bestFit="1" customWidth="1"/>
    <col min="2" max="2" width="28.7109375" style="2" customWidth="1"/>
    <col min="3" max="3" width="14.140625" style="1" customWidth="1"/>
    <col min="4" max="4" width="17.42578125" style="1" bestFit="1" customWidth="1"/>
    <col min="5" max="5" width="17.5703125" style="1" bestFit="1" customWidth="1"/>
    <col min="6" max="6" width="18" style="6" bestFit="1" customWidth="1"/>
    <col min="7" max="7" width="17.7109375" style="6" bestFit="1" customWidth="1"/>
    <col min="8" max="8" width="16.140625" style="6" bestFit="1" customWidth="1"/>
    <col min="9" max="9" width="24.5703125" style="6" bestFit="1" customWidth="1"/>
    <col min="10" max="10" width="13.85546875" style="1" bestFit="1" customWidth="1"/>
    <col min="11" max="11" width="47.28515625" style="6" bestFit="1" customWidth="1"/>
    <col min="12" max="12" width="23.7109375" style="1" bestFit="1" customWidth="1"/>
    <col min="13" max="13" width="17.5703125" style="6" bestFit="1" customWidth="1"/>
    <col min="14" max="14" width="14.85546875" style="6" customWidth="1"/>
    <col min="15" max="15" width="14.85546875" style="6" bestFit="1" customWidth="1"/>
    <col min="16" max="16" width="15.28515625" style="1" bestFit="1" customWidth="1"/>
    <col min="17" max="17" width="9.140625" style="1"/>
    <col min="18" max="18" width="11.28515625" style="1" bestFit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19" s="6" customFormat="1" x14ac:dyDescent="0.3">
      <c r="A1" s="104"/>
      <c r="B1" s="105" t="s">
        <v>13</v>
      </c>
      <c r="E1" s="6" t="s">
        <v>38</v>
      </c>
      <c r="F1" s="6" t="s">
        <v>39</v>
      </c>
      <c r="H1" s="6" t="s">
        <v>37</v>
      </c>
      <c r="K1" s="6" t="s">
        <v>25</v>
      </c>
      <c r="O1" s="6" t="s">
        <v>32</v>
      </c>
      <c r="R1" s="6" t="s">
        <v>32</v>
      </c>
    </row>
    <row r="2" spans="1:19" s="6" customFormat="1" x14ac:dyDescent="0.3">
      <c r="A2" s="104"/>
      <c r="B2" s="106" t="s">
        <v>11</v>
      </c>
      <c r="C2" s="107">
        <v>7216</v>
      </c>
      <c r="D2" s="6" t="s">
        <v>43</v>
      </c>
      <c r="E2" s="4">
        <v>0</v>
      </c>
      <c r="F2" s="4">
        <f>MROUND(E2*10.764,1)</f>
        <v>0</v>
      </c>
      <c r="G2" s="22"/>
      <c r="H2" s="6" t="s">
        <v>38</v>
      </c>
      <c r="I2" s="38">
        <v>0</v>
      </c>
      <c r="J2" s="38">
        <f>C2</f>
        <v>7216</v>
      </c>
      <c r="K2" s="38">
        <f>I3</f>
        <v>0</v>
      </c>
      <c r="L2" s="38">
        <f>J2*K2</f>
        <v>0</v>
      </c>
      <c r="O2" s="108" t="s">
        <v>34</v>
      </c>
      <c r="P2" s="42">
        <f>C33</f>
        <v>329338240</v>
      </c>
      <c r="R2" s="18">
        <f>P2*0.025/12</f>
        <v>686121.33333333337</v>
      </c>
      <c r="S2" s="17" t="s">
        <v>33</v>
      </c>
    </row>
    <row r="3" spans="1:19" s="6" customFormat="1" x14ac:dyDescent="0.3">
      <c r="A3" s="104"/>
      <c r="B3" s="22" t="s">
        <v>6</v>
      </c>
      <c r="C3" s="17">
        <v>43000</v>
      </c>
      <c r="D3" s="13"/>
      <c r="E3" s="49"/>
      <c r="F3" s="49"/>
      <c r="G3" s="13"/>
      <c r="H3" s="6" t="s">
        <v>39</v>
      </c>
      <c r="I3" s="38">
        <f>MROUND(I2/10.764,1)</f>
        <v>0</v>
      </c>
      <c r="J3" s="38"/>
      <c r="K3" s="38"/>
      <c r="L3" s="38">
        <f>N16</f>
        <v>19050240</v>
      </c>
      <c r="O3" s="108" t="s">
        <v>34</v>
      </c>
      <c r="P3" s="99">
        <v>1088234166</v>
      </c>
      <c r="R3" s="42">
        <f>P3*0.04/12</f>
        <v>3627447.22</v>
      </c>
      <c r="S3" s="109" t="s">
        <v>35</v>
      </c>
    </row>
    <row r="4" spans="1:19" s="6" customFormat="1" x14ac:dyDescent="0.3">
      <c r="A4" s="104"/>
      <c r="B4" s="27" t="s">
        <v>18</v>
      </c>
      <c r="C4" s="38">
        <f>ROUND((C2*C3),0)</f>
        <v>310288000</v>
      </c>
      <c r="I4" s="38"/>
      <c r="J4" s="38"/>
      <c r="K4" s="38"/>
      <c r="L4" s="38">
        <f>SUM(L2:L3)</f>
        <v>19050240</v>
      </c>
      <c r="O4" s="108" t="s">
        <v>34</v>
      </c>
      <c r="P4" s="42">
        <f>C33</f>
        <v>329338240</v>
      </c>
      <c r="R4" s="18">
        <f>P4*0.033/12</f>
        <v>905680.16</v>
      </c>
      <c r="S4" s="17" t="s">
        <v>36</v>
      </c>
    </row>
    <row r="5" spans="1:19" s="6" customFormat="1" x14ac:dyDescent="0.3">
      <c r="A5" s="104"/>
      <c r="B5" s="105" t="s">
        <v>14</v>
      </c>
    </row>
    <row r="6" spans="1:19" s="111" customFormat="1" ht="60" x14ac:dyDescent="0.2">
      <c r="A6" s="110" t="s">
        <v>23</v>
      </c>
      <c r="B6" s="4" t="s">
        <v>27</v>
      </c>
      <c r="C6" s="4" t="s">
        <v>30</v>
      </c>
      <c r="D6" s="4" t="s">
        <v>0</v>
      </c>
      <c r="E6" s="4" t="s">
        <v>1</v>
      </c>
      <c r="F6" s="4" t="s">
        <v>2</v>
      </c>
      <c r="G6" s="7" t="s">
        <v>5</v>
      </c>
      <c r="H6" s="4" t="s">
        <v>29</v>
      </c>
      <c r="I6" s="4" t="s">
        <v>28</v>
      </c>
      <c r="J6" s="7" t="s">
        <v>3</v>
      </c>
      <c r="K6" s="7" t="s">
        <v>4</v>
      </c>
      <c r="L6" s="4" t="s">
        <v>16</v>
      </c>
      <c r="M6" s="36" t="s">
        <v>26</v>
      </c>
      <c r="N6" s="4" t="s">
        <v>17</v>
      </c>
      <c r="O6" s="4" t="s">
        <v>41</v>
      </c>
    </row>
    <row r="7" spans="1:19" s="111" customFormat="1" ht="15" x14ac:dyDescent="0.2">
      <c r="A7" s="110"/>
      <c r="B7" s="4"/>
      <c r="C7" s="4" t="s">
        <v>42</v>
      </c>
      <c r="D7" s="4"/>
      <c r="E7" s="4"/>
      <c r="F7" s="4"/>
      <c r="G7" s="7" t="s">
        <v>31</v>
      </c>
      <c r="H7" s="4"/>
      <c r="I7" s="4"/>
      <c r="J7" s="7"/>
      <c r="K7" s="7"/>
      <c r="L7" s="7" t="s">
        <v>31</v>
      </c>
      <c r="M7" s="7" t="s">
        <v>31</v>
      </c>
      <c r="N7" s="7" t="s">
        <v>31</v>
      </c>
      <c r="O7" s="7" t="s">
        <v>31</v>
      </c>
    </row>
    <row r="8" spans="1:19" s="11" customFormat="1" x14ac:dyDescent="0.25">
      <c r="A8" s="112">
        <v>1</v>
      </c>
      <c r="B8" s="113"/>
      <c r="C8" s="107">
        <v>7216</v>
      </c>
      <c r="D8" s="114">
        <v>2016</v>
      </c>
      <c r="E8" s="114">
        <v>2024</v>
      </c>
      <c r="F8" s="114">
        <v>60</v>
      </c>
      <c r="G8" s="115">
        <v>3000</v>
      </c>
      <c r="H8" s="39">
        <f t="shared" ref="H8:H15" si="0">E8-D8</f>
        <v>8</v>
      </c>
      <c r="I8" s="39">
        <f t="shared" ref="I8:I15" si="1">F8-H8</f>
        <v>52</v>
      </c>
      <c r="J8" s="13">
        <f t="shared" ref="J8:J15" si="2">IF(H8&gt;=5,90*H8/F8,0)</f>
        <v>12</v>
      </c>
      <c r="K8" s="39">
        <f t="shared" ref="K8:K15" si="3">G8/100*J8</f>
        <v>360</v>
      </c>
      <c r="L8" s="39">
        <f t="shared" ref="L8:L15" si="4">ROUND((G8-K8),0)</f>
        <v>2640</v>
      </c>
      <c r="M8" s="39">
        <f t="shared" ref="M8:M15" si="5">O8-N8</f>
        <v>2597760</v>
      </c>
      <c r="N8" s="39">
        <f t="shared" ref="N8:N15" si="6">ROUND((L8*C8),0)</f>
        <v>19050240</v>
      </c>
      <c r="O8" s="39">
        <f t="shared" ref="O8:O15" si="7">ROUND((C8*G8),0)</f>
        <v>21648000</v>
      </c>
    </row>
    <row r="9" spans="1:19" s="11" customFormat="1" x14ac:dyDescent="0.25">
      <c r="A9" s="116">
        <v>2</v>
      </c>
      <c r="B9" s="113"/>
      <c r="C9" s="117">
        <v>0</v>
      </c>
      <c r="D9" s="114">
        <v>0</v>
      </c>
      <c r="E9" s="114">
        <v>0</v>
      </c>
      <c r="F9" s="114">
        <v>60</v>
      </c>
      <c r="G9" s="115">
        <v>0</v>
      </c>
      <c r="H9" s="39">
        <f t="shared" si="0"/>
        <v>0</v>
      </c>
      <c r="I9" s="39">
        <f t="shared" si="1"/>
        <v>60</v>
      </c>
      <c r="J9" s="39">
        <f t="shared" si="2"/>
        <v>0</v>
      </c>
      <c r="K9" s="39">
        <f t="shared" si="3"/>
        <v>0</v>
      </c>
      <c r="L9" s="39">
        <f t="shared" si="4"/>
        <v>0</v>
      </c>
      <c r="M9" s="39">
        <f t="shared" si="5"/>
        <v>0</v>
      </c>
      <c r="N9" s="39">
        <f t="shared" si="6"/>
        <v>0</v>
      </c>
      <c r="O9" s="39">
        <f t="shared" si="7"/>
        <v>0</v>
      </c>
    </row>
    <row r="10" spans="1:19" s="11" customFormat="1" ht="17.25" customHeight="1" x14ac:dyDescent="0.25">
      <c r="A10" s="112">
        <v>3</v>
      </c>
      <c r="B10" s="113"/>
      <c r="C10" s="117">
        <v>0</v>
      </c>
      <c r="D10" s="114">
        <v>0</v>
      </c>
      <c r="E10" s="114">
        <v>0</v>
      </c>
      <c r="F10" s="114">
        <v>60</v>
      </c>
      <c r="G10" s="115">
        <v>0</v>
      </c>
      <c r="H10" s="39">
        <f t="shared" si="0"/>
        <v>0</v>
      </c>
      <c r="I10" s="39">
        <f t="shared" si="1"/>
        <v>60</v>
      </c>
      <c r="J10" s="39">
        <f t="shared" si="2"/>
        <v>0</v>
      </c>
      <c r="K10" s="39">
        <f t="shared" si="3"/>
        <v>0</v>
      </c>
      <c r="L10" s="39">
        <f t="shared" si="4"/>
        <v>0</v>
      </c>
      <c r="M10" s="39">
        <f t="shared" si="5"/>
        <v>0</v>
      </c>
      <c r="N10" s="39">
        <f t="shared" si="6"/>
        <v>0</v>
      </c>
      <c r="O10" s="39">
        <f t="shared" si="7"/>
        <v>0</v>
      </c>
    </row>
    <row r="11" spans="1:19" s="11" customFormat="1" x14ac:dyDescent="0.25">
      <c r="A11" s="116">
        <v>4</v>
      </c>
      <c r="B11" s="113"/>
      <c r="C11" s="117">
        <v>0</v>
      </c>
      <c r="D11" s="114">
        <v>0</v>
      </c>
      <c r="E11" s="114">
        <v>0</v>
      </c>
      <c r="F11" s="114">
        <v>60</v>
      </c>
      <c r="G11" s="115">
        <v>0</v>
      </c>
      <c r="H11" s="39">
        <f t="shared" si="0"/>
        <v>0</v>
      </c>
      <c r="I11" s="39">
        <f t="shared" si="1"/>
        <v>60</v>
      </c>
      <c r="J11" s="39">
        <f t="shared" si="2"/>
        <v>0</v>
      </c>
      <c r="K11" s="39">
        <f t="shared" si="3"/>
        <v>0</v>
      </c>
      <c r="L11" s="39">
        <f t="shared" si="4"/>
        <v>0</v>
      </c>
      <c r="M11" s="39">
        <f t="shared" si="5"/>
        <v>0</v>
      </c>
      <c r="N11" s="39">
        <f t="shared" si="6"/>
        <v>0</v>
      </c>
      <c r="O11" s="39">
        <f t="shared" si="7"/>
        <v>0</v>
      </c>
    </row>
    <row r="12" spans="1:19" s="11" customFormat="1" x14ac:dyDescent="0.25">
      <c r="A12" s="112">
        <v>5</v>
      </c>
      <c r="B12" s="113"/>
      <c r="C12" s="117">
        <v>0</v>
      </c>
      <c r="D12" s="114">
        <v>0</v>
      </c>
      <c r="E12" s="114">
        <v>0</v>
      </c>
      <c r="F12" s="114">
        <v>60</v>
      </c>
      <c r="G12" s="115">
        <v>0</v>
      </c>
      <c r="H12" s="39">
        <f t="shared" si="0"/>
        <v>0</v>
      </c>
      <c r="I12" s="39">
        <f t="shared" si="1"/>
        <v>60</v>
      </c>
      <c r="J12" s="39">
        <f t="shared" si="2"/>
        <v>0</v>
      </c>
      <c r="K12" s="39">
        <f t="shared" si="3"/>
        <v>0</v>
      </c>
      <c r="L12" s="39">
        <f t="shared" si="4"/>
        <v>0</v>
      </c>
      <c r="M12" s="39">
        <f t="shared" si="5"/>
        <v>0</v>
      </c>
      <c r="N12" s="39">
        <f t="shared" si="6"/>
        <v>0</v>
      </c>
      <c r="O12" s="39">
        <f t="shared" si="7"/>
        <v>0</v>
      </c>
    </row>
    <row r="13" spans="1:19" s="6" customFormat="1" x14ac:dyDescent="0.3">
      <c r="A13" s="118">
        <v>6</v>
      </c>
      <c r="B13" s="113"/>
      <c r="C13" s="117">
        <v>0</v>
      </c>
      <c r="D13" s="119">
        <v>0</v>
      </c>
      <c r="E13" s="119">
        <v>0</v>
      </c>
      <c r="F13" s="119">
        <v>60</v>
      </c>
      <c r="G13" s="120">
        <v>0</v>
      </c>
      <c r="H13" s="39">
        <f t="shared" si="0"/>
        <v>0</v>
      </c>
      <c r="I13" s="39">
        <f t="shared" si="1"/>
        <v>60</v>
      </c>
      <c r="J13" s="39">
        <f t="shared" si="2"/>
        <v>0</v>
      </c>
      <c r="K13" s="39">
        <f t="shared" si="3"/>
        <v>0</v>
      </c>
      <c r="L13" s="39">
        <f t="shared" si="4"/>
        <v>0</v>
      </c>
      <c r="M13" s="40">
        <f t="shared" si="5"/>
        <v>0</v>
      </c>
      <c r="N13" s="39">
        <f t="shared" si="6"/>
        <v>0</v>
      </c>
      <c r="O13" s="39">
        <f t="shared" si="7"/>
        <v>0</v>
      </c>
    </row>
    <row r="14" spans="1:19" s="6" customFormat="1" x14ac:dyDescent="0.3">
      <c r="A14" s="22">
        <v>7</v>
      </c>
      <c r="B14" s="113"/>
      <c r="C14" s="117">
        <v>0</v>
      </c>
      <c r="D14" s="119">
        <v>0</v>
      </c>
      <c r="E14" s="119">
        <v>0</v>
      </c>
      <c r="F14" s="119">
        <v>60</v>
      </c>
      <c r="G14" s="120">
        <v>0</v>
      </c>
      <c r="H14" s="39">
        <f t="shared" si="0"/>
        <v>0</v>
      </c>
      <c r="I14" s="39">
        <f t="shared" si="1"/>
        <v>60</v>
      </c>
      <c r="J14" s="39">
        <f t="shared" si="2"/>
        <v>0</v>
      </c>
      <c r="K14" s="39">
        <f t="shared" si="3"/>
        <v>0</v>
      </c>
      <c r="L14" s="39">
        <f t="shared" si="4"/>
        <v>0</v>
      </c>
      <c r="M14" s="40">
        <f t="shared" si="5"/>
        <v>0</v>
      </c>
      <c r="N14" s="39">
        <f t="shared" si="6"/>
        <v>0</v>
      </c>
      <c r="O14" s="39">
        <f t="shared" si="7"/>
        <v>0</v>
      </c>
    </row>
    <row r="15" spans="1:19" s="6" customFormat="1" x14ac:dyDescent="0.3">
      <c r="A15" s="118">
        <v>8</v>
      </c>
      <c r="B15" s="113"/>
      <c r="C15" s="117">
        <v>0</v>
      </c>
      <c r="D15" s="119">
        <v>0</v>
      </c>
      <c r="E15" s="119">
        <v>0</v>
      </c>
      <c r="F15" s="119">
        <v>60</v>
      </c>
      <c r="G15" s="120">
        <v>0</v>
      </c>
      <c r="H15" s="39">
        <f t="shared" si="0"/>
        <v>0</v>
      </c>
      <c r="I15" s="39">
        <f t="shared" si="1"/>
        <v>60</v>
      </c>
      <c r="J15" s="39">
        <f t="shared" si="2"/>
        <v>0</v>
      </c>
      <c r="K15" s="39">
        <f t="shared" si="3"/>
        <v>0</v>
      </c>
      <c r="L15" s="39">
        <f t="shared" si="4"/>
        <v>0</v>
      </c>
      <c r="M15" s="40">
        <f t="shared" si="5"/>
        <v>0</v>
      </c>
      <c r="N15" s="39">
        <f t="shared" si="6"/>
        <v>0</v>
      </c>
      <c r="O15" s="39">
        <f t="shared" si="7"/>
        <v>0</v>
      </c>
    </row>
    <row r="16" spans="1:19" s="6" customFormat="1" x14ac:dyDescent="0.3">
      <c r="A16" s="22"/>
      <c r="B16" s="113"/>
      <c r="C16" s="5"/>
      <c r="D16" s="5"/>
      <c r="E16" s="5"/>
      <c r="F16" s="5"/>
      <c r="G16" s="39"/>
      <c r="H16" s="39"/>
      <c r="I16" s="39"/>
      <c r="J16" s="39"/>
      <c r="K16" s="39"/>
      <c r="L16" s="39"/>
      <c r="M16" s="39">
        <f>SUM(M8:M15)</f>
        <v>2597760</v>
      </c>
      <c r="N16" s="39">
        <f>SUM(N8:N15)</f>
        <v>19050240</v>
      </c>
      <c r="O16" s="39">
        <f>SUM(O8:O15)</f>
        <v>21648000</v>
      </c>
    </row>
    <row r="17" spans="1:16" x14ac:dyDescent="0.3">
      <c r="B17" s="9"/>
      <c r="C17" s="10"/>
      <c r="D17" s="10"/>
      <c r="E17" s="10"/>
      <c r="F17" s="11"/>
      <c r="G17" s="11"/>
      <c r="H17" s="11"/>
      <c r="I17" s="11"/>
      <c r="J17" s="10"/>
      <c r="K17" s="14"/>
      <c r="L17" s="15"/>
      <c r="M17" s="11"/>
      <c r="N17" s="23"/>
      <c r="O17" s="23"/>
    </row>
    <row r="18" spans="1:16" x14ac:dyDescent="0.3">
      <c r="B18" s="143" t="s">
        <v>20</v>
      </c>
      <c r="C18" s="143"/>
      <c r="D18" s="10"/>
      <c r="E18" s="10"/>
      <c r="F18" s="11"/>
      <c r="G18" s="11"/>
      <c r="H18" s="11"/>
      <c r="I18" s="11"/>
      <c r="J18" s="10"/>
      <c r="K18" s="14"/>
      <c r="L18" s="15"/>
      <c r="M18" s="11"/>
      <c r="N18" s="23"/>
      <c r="O18" s="23"/>
    </row>
    <row r="19" spans="1:16" x14ac:dyDescent="0.3">
      <c r="B19" s="20" t="s">
        <v>19</v>
      </c>
      <c r="C19" s="41">
        <v>0</v>
      </c>
      <c r="D19" s="10"/>
      <c r="E19" s="10"/>
      <c r="F19" s="11"/>
      <c r="G19" s="11"/>
      <c r="H19" s="11"/>
      <c r="I19" s="11"/>
      <c r="J19" s="10"/>
      <c r="K19" s="14"/>
      <c r="L19" s="15"/>
      <c r="M19" s="11"/>
      <c r="N19" s="23"/>
      <c r="O19" s="23"/>
    </row>
    <row r="20" spans="1:16" x14ac:dyDescent="0.3">
      <c r="B20" s="21" t="s">
        <v>6</v>
      </c>
      <c r="C20" s="37">
        <v>0</v>
      </c>
      <c r="D20" s="10"/>
      <c r="E20" s="10"/>
      <c r="F20" s="11"/>
      <c r="G20" s="11"/>
      <c r="H20" s="11"/>
      <c r="I20" s="11"/>
      <c r="J20" s="10"/>
      <c r="K20" s="14"/>
      <c r="L20" s="15"/>
      <c r="M20" s="11"/>
      <c r="N20" s="23"/>
      <c r="O20" s="23"/>
    </row>
    <row r="21" spans="1:16" x14ac:dyDescent="0.3">
      <c r="B21" s="21" t="s">
        <v>7</v>
      </c>
      <c r="C21" s="40">
        <f>ROUND((C19*C20),0)</f>
        <v>0</v>
      </c>
      <c r="D21" s="10"/>
      <c r="E21" s="10"/>
      <c r="F21" s="11"/>
      <c r="G21" s="11"/>
      <c r="H21" s="11"/>
      <c r="I21" s="11"/>
      <c r="J21" s="10"/>
      <c r="K21" s="14"/>
      <c r="L21" s="15"/>
      <c r="M21" s="11"/>
      <c r="N21" s="23"/>
      <c r="O21" s="23"/>
    </row>
    <row r="22" spans="1:16" x14ac:dyDescent="0.3">
      <c r="B22" s="9"/>
      <c r="C22" s="10"/>
      <c r="D22" s="10"/>
      <c r="E22" s="10"/>
      <c r="F22" s="11"/>
      <c r="G22" s="11"/>
      <c r="H22" s="11"/>
      <c r="I22" s="11"/>
      <c r="J22" s="10"/>
      <c r="K22" s="14"/>
      <c r="L22" s="15"/>
      <c r="M22" s="11"/>
      <c r="N22" s="23"/>
      <c r="O22" s="23"/>
    </row>
    <row r="23" spans="1:16" ht="22.5" customHeight="1" x14ac:dyDescent="0.3">
      <c r="B23" s="144" t="s">
        <v>15</v>
      </c>
      <c r="C23" s="145"/>
      <c r="D23" s="10"/>
      <c r="E23" s="10"/>
      <c r="F23" s="11"/>
      <c r="G23" s="11"/>
      <c r="H23" s="11"/>
      <c r="I23" s="11"/>
      <c r="J23" s="10"/>
      <c r="K23" s="11"/>
      <c r="L23" s="10"/>
      <c r="M23" s="11"/>
      <c r="N23" s="11"/>
      <c r="O23" s="11"/>
    </row>
    <row r="24" spans="1:16" x14ac:dyDescent="0.3">
      <c r="B24" s="20" t="s">
        <v>11</v>
      </c>
      <c r="C24" s="41">
        <v>0</v>
      </c>
      <c r="E24" s="24" t="s">
        <v>61</v>
      </c>
      <c r="F24" s="3"/>
      <c r="G24" s="53" t="s">
        <v>56</v>
      </c>
      <c r="H24" s="54"/>
      <c r="I24" s="63" t="s">
        <v>62</v>
      </c>
      <c r="J24" s="55"/>
      <c r="K24" s="49"/>
      <c r="L24" s="56"/>
      <c r="M24" s="49"/>
      <c r="N24" s="49"/>
      <c r="O24" s="49"/>
    </row>
    <row r="25" spans="1:16" x14ac:dyDescent="0.3">
      <c r="B25" s="21" t="s">
        <v>6</v>
      </c>
      <c r="C25" s="37">
        <v>0</v>
      </c>
      <c r="D25" s="25"/>
      <c r="E25" s="19"/>
      <c r="F25" s="61" t="s">
        <v>27</v>
      </c>
      <c r="G25" s="57" t="s">
        <v>60</v>
      </c>
      <c r="H25" s="54"/>
      <c r="I25" s="44" t="s">
        <v>27</v>
      </c>
      <c r="J25" s="45" t="s">
        <v>49</v>
      </c>
      <c r="K25" s="45" t="s">
        <v>50</v>
      </c>
      <c r="L25" s="45"/>
      <c r="M25" s="45" t="s">
        <v>51</v>
      </c>
      <c r="N25" s="46" t="s">
        <v>6</v>
      </c>
      <c r="O25" s="46" t="s">
        <v>7</v>
      </c>
    </row>
    <row r="26" spans="1:16" x14ac:dyDescent="0.3">
      <c r="B26" s="21" t="s">
        <v>7</v>
      </c>
      <c r="C26" s="40">
        <f>ROUND((C24*C25),0)</f>
        <v>0</v>
      </c>
      <c r="D26" s="47" t="s">
        <v>44</v>
      </c>
      <c r="F26" s="58" t="s">
        <v>57</v>
      </c>
      <c r="G26" s="60">
        <v>4231.6499999999996</v>
      </c>
      <c r="H26" s="54"/>
      <c r="I26" s="47" t="s">
        <v>44</v>
      </c>
      <c r="J26" s="48">
        <v>4625</v>
      </c>
      <c r="K26" s="48" t="s">
        <v>52</v>
      </c>
      <c r="L26" s="48">
        <v>307</v>
      </c>
      <c r="M26" s="48">
        <v>4932</v>
      </c>
      <c r="N26" s="49">
        <f>N27*0.7</f>
        <v>35000</v>
      </c>
      <c r="O26" s="49"/>
    </row>
    <row r="27" spans="1:16" x14ac:dyDescent="0.3">
      <c r="B27" s="35"/>
      <c r="C27" s="17"/>
      <c r="D27" s="47" t="s">
        <v>45</v>
      </c>
      <c r="F27" s="58" t="s">
        <v>45</v>
      </c>
      <c r="G27" s="60">
        <f>1331.5+1527.84+2019.33+1095</f>
        <v>5973.67</v>
      </c>
      <c r="H27" s="54"/>
      <c r="I27" s="47" t="s">
        <v>45</v>
      </c>
      <c r="J27" s="48">
        <v>4652.8500000000004</v>
      </c>
      <c r="K27" s="48" t="s">
        <v>53</v>
      </c>
      <c r="L27" s="48">
        <v>1907.38</v>
      </c>
      <c r="M27" s="48">
        <v>6560.23</v>
      </c>
      <c r="N27" s="49">
        <v>50000</v>
      </c>
      <c r="O27" s="49"/>
      <c r="P27" s="1">
        <f>50000*25%</f>
        <v>12500</v>
      </c>
    </row>
    <row r="28" spans="1:16" x14ac:dyDescent="0.3">
      <c r="C28" s="8" t="s">
        <v>22</v>
      </c>
      <c r="D28" s="47" t="s">
        <v>46</v>
      </c>
      <c r="F28" s="58" t="s">
        <v>58</v>
      </c>
      <c r="G28" s="60">
        <v>3711</v>
      </c>
      <c r="H28" s="54"/>
      <c r="I28" s="47" t="s">
        <v>46</v>
      </c>
      <c r="J28" s="48">
        <v>3542.32</v>
      </c>
      <c r="K28" s="48" t="s">
        <v>54</v>
      </c>
      <c r="L28" s="48">
        <v>276.95</v>
      </c>
      <c r="M28" s="48">
        <v>3819.27</v>
      </c>
      <c r="N28" s="49">
        <v>45000</v>
      </c>
      <c r="O28" s="49"/>
    </row>
    <row r="29" spans="1:16" x14ac:dyDescent="0.3">
      <c r="B29" s="2" t="s">
        <v>13</v>
      </c>
      <c r="C29" s="38">
        <f>C4</f>
        <v>310288000</v>
      </c>
      <c r="D29" s="47" t="s">
        <v>47</v>
      </c>
      <c r="F29" s="58" t="s">
        <v>46</v>
      </c>
      <c r="G29" s="60">
        <v>4682.4399999999996</v>
      </c>
      <c r="H29" s="50"/>
      <c r="I29" s="47" t="s">
        <v>47</v>
      </c>
      <c r="J29" s="48">
        <v>5958.73</v>
      </c>
      <c r="K29" s="48" t="s">
        <v>55</v>
      </c>
      <c r="L29" s="48">
        <v>2200.27</v>
      </c>
      <c r="M29" s="48">
        <v>8159</v>
      </c>
      <c r="N29" s="49">
        <v>40000</v>
      </c>
      <c r="O29" s="49"/>
    </row>
    <row r="30" spans="1:16" x14ac:dyDescent="0.3">
      <c r="B30" s="2" t="s">
        <v>14</v>
      </c>
      <c r="C30" s="38">
        <f>N16</f>
        <v>19050240</v>
      </c>
      <c r="D30" s="47" t="s">
        <v>48</v>
      </c>
      <c r="F30" s="58" t="s">
        <v>59</v>
      </c>
      <c r="G30" s="60">
        <v>1643.87</v>
      </c>
      <c r="H30" s="50"/>
      <c r="I30" s="47" t="s">
        <v>48</v>
      </c>
      <c r="J30" s="48">
        <v>1643.87</v>
      </c>
      <c r="K30" s="48"/>
      <c r="L30" s="48"/>
      <c r="M30" s="48">
        <v>1643.87</v>
      </c>
      <c r="N30" s="49"/>
      <c r="O30" s="49"/>
    </row>
    <row r="31" spans="1:16" x14ac:dyDescent="0.3">
      <c r="B31" s="2" t="s">
        <v>21</v>
      </c>
      <c r="C31" s="38">
        <f>C21</f>
        <v>0</v>
      </c>
      <c r="D31" s="17"/>
      <c r="E31" s="17"/>
      <c r="F31" s="59"/>
      <c r="G31" s="62">
        <f>SUM(G26:G30)</f>
        <v>20242.629999999997</v>
      </c>
      <c r="H31" s="50"/>
      <c r="I31" s="50"/>
      <c r="J31" s="51">
        <f>SUM(J26:J30)</f>
        <v>20422.77</v>
      </c>
      <c r="K31" s="52"/>
      <c r="L31" s="52">
        <f>SUM(L26:L30)</f>
        <v>4691.6000000000004</v>
      </c>
      <c r="M31" s="52">
        <f>SUM(M26:M30)</f>
        <v>25114.37</v>
      </c>
      <c r="N31" s="49">
        <v>12500</v>
      </c>
      <c r="O31" s="49"/>
    </row>
    <row r="32" spans="1:16" x14ac:dyDescent="0.3">
      <c r="A32" s="1"/>
      <c r="B32" s="2" t="s">
        <v>12</v>
      </c>
      <c r="C32" s="38">
        <f>C26</f>
        <v>0</v>
      </c>
      <c r="D32" s="17"/>
      <c r="E32" s="17"/>
      <c r="F32" s="17"/>
      <c r="G32" s="17"/>
      <c r="H32" s="18"/>
      <c r="I32" s="18"/>
      <c r="L32" s="18"/>
    </row>
    <row r="33" spans="1:15" x14ac:dyDescent="0.3">
      <c r="A33" s="1"/>
      <c r="B33" s="12" t="s">
        <v>8</v>
      </c>
      <c r="C33" s="42">
        <f>C29+C30+C31+C32</f>
        <v>329338240</v>
      </c>
      <c r="D33" s="16"/>
      <c r="F33" s="16"/>
    </row>
    <row r="34" spans="1:15" x14ac:dyDescent="0.3">
      <c r="A34" s="1"/>
      <c r="B34" s="12" t="s">
        <v>9</v>
      </c>
      <c r="C34" s="42">
        <f>MROUND(C33*90%,1)</f>
        <v>296404416</v>
      </c>
      <c r="D34" s="18"/>
      <c r="F34" s="16"/>
      <c r="H34" s="28"/>
      <c r="I34" s="28"/>
    </row>
    <row r="35" spans="1:15" x14ac:dyDescent="0.3">
      <c r="A35" s="1"/>
      <c r="B35" s="12" t="s">
        <v>10</v>
      </c>
      <c r="C35" s="42">
        <f>MROUND(C33*80%,1)</f>
        <v>263470592</v>
      </c>
      <c r="D35" s="18"/>
      <c r="F35" s="16"/>
      <c r="H35" s="28"/>
      <c r="I35" s="28"/>
    </row>
    <row r="36" spans="1:15" x14ac:dyDescent="0.3">
      <c r="A36" s="1"/>
      <c r="B36" s="2" t="s">
        <v>24</v>
      </c>
      <c r="C36" s="38">
        <f>O16</f>
        <v>21648000</v>
      </c>
      <c r="D36" s="26"/>
      <c r="O36" s="29"/>
    </row>
    <row r="37" spans="1:15" x14ac:dyDescent="0.3">
      <c r="A37" s="1"/>
      <c r="B37" s="12" t="s">
        <v>40</v>
      </c>
      <c r="C37" s="43">
        <f>MROUND(C36*0.85,1)</f>
        <v>18400800</v>
      </c>
      <c r="J37" s="6"/>
      <c r="O37" s="29"/>
    </row>
    <row r="38" spans="1:15" x14ac:dyDescent="0.3">
      <c r="A38" s="1"/>
      <c r="J38" s="6"/>
      <c r="O38" s="29"/>
    </row>
    <row r="39" spans="1:15" x14ac:dyDescent="0.3">
      <c r="A39" s="1"/>
      <c r="J39" s="6"/>
      <c r="L39" s="30"/>
      <c r="O39" s="29"/>
    </row>
    <row r="40" spans="1:15" x14ac:dyDescent="0.3">
      <c r="A40" s="1"/>
      <c r="J40" s="6"/>
      <c r="L40" s="6" t="s">
        <v>24</v>
      </c>
      <c r="N40" s="6" t="s">
        <v>83</v>
      </c>
      <c r="O40" s="29"/>
    </row>
    <row r="41" spans="1:15" x14ac:dyDescent="0.3">
      <c r="A41" s="1"/>
      <c r="B41" s="47" t="s">
        <v>44</v>
      </c>
      <c r="D41" s="48">
        <v>4932</v>
      </c>
      <c r="E41" s="1">
        <f>E42*0.7</f>
        <v>35098</v>
      </c>
      <c r="F41" s="94">
        <v>35098</v>
      </c>
      <c r="G41" s="92">
        <f>MROUND(D41*F41,1)</f>
        <v>173103336</v>
      </c>
      <c r="I41" s="49">
        <f>I42*0.7</f>
        <v>35000</v>
      </c>
      <c r="J41" s="93">
        <f>MROUND(D41*1.1,1)</f>
        <v>5425</v>
      </c>
      <c r="K41" s="93">
        <v>3000</v>
      </c>
      <c r="L41" s="95">
        <f>D41*K41</f>
        <v>14796000</v>
      </c>
      <c r="M41" s="93">
        <v>20373</v>
      </c>
      <c r="N41" s="93">
        <f>MROUND(D41*M41,1)</f>
        <v>100479636</v>
      </c>
      <c r="O41" s="29"/>
    </row>
    <row r="42" spans="1:15" x14ac:dyDescent="0.3">
      <c r="A42" s="1"/>
      <c r="B42" s="47" t="s">
        <v>45</v>
      </c>
      <c r="D42" s="48">
        <v>6560.23</v>
      </c>
      <c r="E42" s="1">
        <v>50140</v>
      </c>
      <c r="F42" s="94">
        <v>50140</v>
      </c>
      <c r="G42" s="92">
        <f t="shared" ref="G42:G49" si="8">MROUND(D42*F42,1)</f>
        <v>328929932</v>
      </c>
      <c r="I42" s="49">
        <v>50000</v>
      </c>
      <c r="J42" s="93">
        <f t="shared" ref="J42:J44" si="9">MROUND(D42*1.1,1)</f>
        <v>7216</v>
      </c>
      <c r="K42" s="93">
        <v>3000</v>
      </c>
      <c r="L42" s="95">
        <f t="shared" ref="L42:L44" si="10">D42*K42</f>
        <v>19680690</v>
      </c>
      <c r="M42" s="93">
        <v>28704</v>
      </c>
      <c r="N42" s="93">
        <f t="shared" ref="N42:N44" si="11">MROUND(D42*M42,1)</f>
        <v>188304842</v>
      </c>
      <c r="O42" s="29"/>
    </row>
    <row r="43" spans="1:15" x14ac:dyDescent="0.3">
      <c r="A43" s="1"/>
      <c r="B43" s="47" t="s">
        <v>46</v>
      </c>
      <c r="D43" s="48">
        <v>3819.27</v>
      </c>
      <c r="E43" s="1">
        <f>E42*F43/F42</f>
        <v>45126</v>
      </c>
      <c r="F43" s="94">
        <v>45126</v>
      </c>
      <c r="G43" s="92">
        <f t="shared" si="8"/>
        <v>172348378</v>
      </c>
      <c r="I43" s="49">
        <v>45000</v>
      </c>
      <c r="J43" s="93">
        <f t="shared" si="9"/>
        <v>4201</v>
      </c>
      <c r="K43" s="93">
        <v>3000</v>
      </c>
      <c r="L43" s="95">
        <f t="shared" si="10"/>
        <v>11457810</v>
      </c>
      <c r="M43" s="93">
        <v>24151</v>
      </c>
      <c r="N43" s="93">
        <f t="shared" si="11"/>
        <v>92239190</v>
      </c>
      <c r="O43" s="29"/>
    </row>
    <row r="44" spans="1:15" x14ac:dyDescent="0.3">
      <c r="A44" s="1"/>
      <c r="B44" s="47" t="s">
        <v>47</v>
      </c>
      <c r="D44" s="48">
        <v>8159</v>
      </c>
      <c r="E44" s="1">
        <f>E42*F44/F42</f>
        <v>40112</v>
      </c>
      <c r="F44" s="94">
        <v>40112</v>
      </c>
      <c r="G44" s="92">
        <f t="shared" si="8"/>
        <v>327273808</v>
      </c>
      <c r="I44" s="49">
        <v>40000</v>
      </c>
      <c r="J44" s="93">
        <f t="shared" si="9"/>
        <v>8975</v>
      </c>
      <c r="K44" s="93">
        <v>3000</v>
      </c>
      <c r="L44" s="95">
        <f t="shared" si="10"/>
        <v>24477000</v>
      </c>
      <c r="M44" s="93">
        <v>24151</v>
      </c>
      <c r="N44" s="93">
        <f t="shared" si="11"/>
        <v>197048009</v>
      </c>
      <c r="O44" s="29"/>
    </row>
    <row r="45" spans="1:15" ht="17.25" thickBot="1" x14ac:dyDescent="0.35">
      <c r="A45" s="1"/>
      <c r="B45" s="101" t="s">
        <v>87</v>
      </c>
      <c r="D45" s="102">
        <v>0</v>
      </c>
      <c r="F45" s="103">
        <v>0</v>
      </c>
      <c r="G45" s="92">
        <f>D45*F45</f>
        <v>0</v>
      </c>
      <c r="J45" s="121">
        <f>SUM(J41:J44)</f>
        <v>25817</v>
      </c>
      <c r="K45" s="93"/>
      <c r="L45" s="95"/>
      <c r="M45" s="93"/>
      <c r="N45" s="93"/>
      <c r="O45" s="29"/>
    </row>
    <row r="46" spans="1:15" ht="33.75" thickBot="1" x14ac:dyDescent="0.35">
      <c r="A46" s="1"/>
      <c r="B46" s="83" t="s">
        <v>27</v>
      </c>
      <c r="C46" s="84" t="s">
        <v>77</v>
      </c>
      <c r="D46" s="85" t="s">
        <v>49</v>
      </c>
      <c r="G46" s="92"/>
      <c r="L46" s="96">
        <f>SUM(L41:L44)</f>
        <v>70411500</v>
      </c>
      <c r="N46" s="92">
        <f>SUM(N41:N44)</f>
        <v>578071677</v>
      </c>
      <c r="O46" s="29"/>
    </row>
    <row r="47" spans="1:15" ht="17.25" thickBot="1" x14ac:dyDescent="0.35">
      <c r="A47" s="1"/>
      <c r="B47" s="86" t="s">
        <v>78</v>
      </c>
      <c r="C47" s="87" t="s">
        <v>79</v>
      </c>
      <c r="D47" s="88">
        <v>1135</v>
      </c>
      <c r="E47" s="1">
        <f>D47/7</f>
        <v>162.14285714285714</v>
      </c>
      <c r="F47" s="93">
        <v>12500</v>
      </c>
      <c r="G47" s="92">
        <f t="shared" si="8"/>
        <v>14187500</v>
      </c>
      <c r="K47" s="139" t="s">
        <v>27</v>
      </c>
      <c r="L47" s="77" t="s">
        <v>68</v>
      </c>
      <c r="M47" s="77" t="s">
        <v>70</v>
      </c>
      <c r="N47" s="141" t="s">
        <v>71</v>
      </c>
    </row>
    <row r="48" spans="1:15" ht="17.25" thickBot="1" x14ac:dyDescent="0.35">
      <c r="A48" s="1"/>
      <c r="B48" s="86" t="s">
        <v>80</v>
      </c>
      <c r="C48" s="87" t="s">
        <v>81</v>
      </c>
      <c r="D48" s="88">
        <v>2726</v>
      </c>
      <c r="E48" s="1">
        <f>D48/18</f>
        <v>151.44444444444446</v>
      </c>
      <c r="F48" s="93">
        <v>12500</v>
      </c>
      <c r="G48" s="92">
        <f t="shared" si="8"/>
        <v>34075000</v>
      </c>
      <c r="K48" s="140"/>
      <c r="L48" s="78" t="s">
        <v>69</v>
      </c>
      <c r="M48" s="78" t="s">
        <v>63</v>
      </c>
      <c r="N48" s="142"/>
    </row>
    <row r="49" spans="1:15" ht="43.5" thickBot="1" x14ac:dyDescent="0.35">
      <c r="A49" s="1"/>
      <c r="B49" s="89" t="s">
        <v>82</v>
      </c>
      <c r="C49" s="90"/>
      <c r="D49" s="91">
        <v>3861</v>
      </c>
      <c r="G49" s="92">
        <f t="shared" si="8"/>
        <v>0</v>
      </c>
      <c r="K49" s="80" t="s">
        <v>72</v>
      </c>
      <c r="L49" s="69">
        <v>227430</v>
      </c>
      <c r="M49" s="69">
        <v>324900</v>
      </c>
      <c r="N49" s="69">
        <v>271640</v>
      </c>
    </row>
    <row r="50" spans="1:15" ht="17.25" thickBot="1" x14ac:dyDescent="0.35">
      <c r="A50" s="1"/>
      <c r="B50" s="1"/>
      <c r="F50" s="97" t="s">
        <v>84</v>
      </c>
      <c r="G50" s="100">
        <f>SUM(G41:G49)</f>
        <v>1049917954</v>
      </c>
      <c r="K50" s="81" t="s">
        <v>64</v>
      </c>
      <c r="L50" s="67">
        <v>0</v>
      </c>
      <c r="M50" s="67"/>
      <c r="N50" s="67"/>
    </row>
    <row r="51" spans="1:15" ht="27.75" thickBot="1" x14ac:dyDescent="0.35">
      <c r="A51" s="1"/>
      <c r="F51" s="98" t="s">
        <v>85</v>
      </c>
      <c r="G51" s="45">
        <f>MROUND(G50*0.9,1)</f>
        <v>944926159</v>
      </c>
      <c r="I51" s="93">
        <v>1238781950</v>
      </c>
      <c r="K51" s="75" t="s">
        <v>65</v>
      </c>
      <c r="L51" s="72">
        <v>227430</v>
      </c>
      <c r="M51" s="72">
        <v>324900</v>
      </c>
      <c r="N51" s="72">
        <v>271640</v>
      </c>
    </row>
    <row r="52" spans="1:15" ht="17.25" thickBot="1" x14ac:dyDescent="0.35">
      <c r="A52" s="1"/>
      <c r="F52" s="98" t="s">
        <v>86</v>
      </c>
      <c r="G52" s="45">
        <f>MROUND(G50*0.8,1)</f>
        <v>839934363</v>
      </c>
      <c r="I52" s="92">
        <f>I51-G50</f>
        <v>188863996</v>
      </c>
      <c r="K52" s="80" t="s">
        <v>66</v>
      </c>
      <c r="L52" s="69">
        <v>125720</v>
      </c>
      <c r="M52" s="69">
        <v>125720</v>
      </c>
      <c r="N52" s="69">
        <v>125720</v>
      </c>
    </row>
    <row r="53" spans="1:15" ht="17.25" thickBot="1" x14ac:dyDescent="0.35">
      <c r="A53" s="1"/>
      <c r="F53" s="43" t="s">
        <v>40</v>
      </c>
      <c r="G53" s="99">
        <v>70411500</v>
      </c>
      <c r="I53" s="6">
        <f>G50/I51</f>
        <v>0.84754056514950027</v>
      </c>
      <c r="K53" s="80" t="s">
        <v>67</v>
      </c>
      <c r="L53" s="69">
        <f>L51-L52</f>
        <v>101710</v>
      </c>
      <c r="M53" s="69">
        <f t="shared" ref="M53:N53" si="12">M51-M52</f>
        <v>199180</v>
      </c>
      <c r="N53" s="69">
        <f t="shared" si="12"/>
        <v>145920</v>
      </c>
    </row>
    <row r="54" spans="1:15" x14ac:dyDescent="0.3">
      <c r="A54" s="1"/>
      <c r="K54" s="82" t="s">
        <v>73</v>
      </c>
      <c r="L54" s="146">
        <v>0.92</v>
      </c>
      <c r="M54" s="146">
        <v>0.92</v>
      </c>
      <c r="N54" s="146">
        <v>0.92</v>
      </c>
    </row>
    <row r="55" spans="1:15" ht="17.25" thickBot="1" x14ac:dyDescent="0.35">
      <c r="A55" s="1"/>
      <c r="K55" s="80" t="s">
        <v>74</v>
      </c>
      <c r="L55" s="147"/>
      <c r="M55" s="147"/>
      <c r="N55" s="147"/>
    </row>
    <row r="56" spans="1:15" ht="29.25" thickBot="1" x14ac:dyDescent="0.35">
      <c r="A56" s="1"/>
      <c r="K56" s="79" t="s">
        <v>75</v>
      </c>
      <c r="L56" s="72">
        <f>L52+(L53*92%)</f>
        <v>219293.2</v>
      </c>
      <c r="M56" s="72">
        <f t="shared" ref="M56:N56" si="13">M52+(M53*92%)</f>
        <v>308965.59999999998</v>
      </c>
      <c r="N56" s="72">
        <f t="shared" si="13"/>
        <v>259966.4</v>
      </c>
    </row>
    <row r="57" spans="1:15" ht="29.25" thickBot="1" x14ac:dyDescent="0.35">
      <c r="A57" s="1"/>
      <c r="B57" s="1"/>
      <c r="K57" s="79" t="s">
        <v>76</v>
      </c>
      <c r="L57" s="72">
        <f>MROUND(L56/10.764,1)</f>
        <v>20373</v>
      </c>
      <c r="M57" s="72">
        <f t="shared" ref="M57:N57" si="14">MROUND(M56/10.764,1)</f>
        <v>28704</v>
      </c>
      <c r="N57" s="72">
        <f t="shared" si="14"/>
        <v>24151</v>
      </c>
    </row>
    <row r="58" spans="1:15" ht="17.25" thickBot="1" x14ac:dyDescent="0.35">
      <c r="A58" s="1"/>
      <c r="B58" s="47" t="s">
        <v>44</v>
      </c>
      <c r="D58" s="48">
        <v>5425</v>
      </c>
      <c r="F58" s="121">
        <v>31948</v>
      </c>
      <c r="G58" s="122">
        <f>D58*F58</f>
        <v>173317900</v>
      </c>
      <c r="H58" s="31"/>
      <c r="I58" s="31">
        <v>3000</v>
      </c>
      <c r="J58" s="126">
        <f>D58*I58</f>
        <v>16275000</v>
      </c>
    </row>
    <row r="59" spans="1:15" x14ac:dyDescent="0.3">
      <c r="A59" s="1"/>
      <c r="B59" s="47" t="s">
        <v>45</v>
      </c>
      <c r="D59" s="48">
        <v>7216</v>
      </c>
      <c r="F59" s="121">
        <v>45640</v>
      </c>
      <c r="G59" s="122">
        <f>D59*F59</f>
        <v>329338240</v>
      </c>
      <c r="H59" s="29"/>
      <c r="I59" s="31">
        <v>3000</v>
      </c>
      <c r="J59" s="126">
        <f t="shared" ref="J59:J61" si="15">D59*I59</f>
        <v>21648000</v>
      </c>
      <c r="K59" s="139"/>
      <c r="L59" s="64"/>
      <c r="M59" s="66"/>
      <c r="N59" s="137"/>
      <c r="O59" s="137"/>
    </row>
    <row r="60" spans="1:15" ht="17.25" thickBot="1" x14ac:dyDescent="0.35">
      <c r="A60" s="1"/>
      <c r="B60" s="47" t="s">
        <v>46</v>
      </c>
      <c r="D60" s="48">
        <v>4201</v>
      </c>
      <c r="F60" s="121">
        <v>41076</v>
      </c>
      <c r="G60" s="122">
        <f>D60*F60</f>
        <v>172560276</v>
      </c>
      <c r="H60" s="32"/>
      <c r="I60" s="31">
        <v>3000</v>
      </c>
      <c r="J60" s="126">
        <f t="shared" si="15"/>
        <v>12603000</v>
      </c>
      <c r="K60" s="140"/>
      <c r="L60" s="65"/>
      <c r="M60" s="67"/>
      <c r="N60" s="138"/>
      <c r="O60" s="138"/>
    </row>
    <row r="61" spans="1:15" ht="17.25" thickBot="1" x14ac:dyDescent="0.35">
      <c r="A61" s="1"/>
      <c r="B61" s="47" t="s">
        <v>47</v>
      </c>
      <c r="D61" s="48">
        <v>8975</v>
      </c>
      <c r="F61" s="121">
        <v>36510</v>
      </c>
      <c r="G61" s="122">
        <f>D61*F61</f>
        <v>327677250</v>
      </c>
      <c r="H61" s="127">
        <f>SUM(G58:G61)</f>
        <v>1002893666</v>
      </c>
      <c r="I61" s="31">
        <v>3000</v>
      </c>
      <c r="J61" s="126">
        <f t="shared" si="15"/>
        <v>26925000</v>
      </c>
      <c r="K61" s="68"/>
      <c r="L61" s="69"/>
      <c r="M61" s="76"/>
      <c r="N61" s="72"/>
      <c r="O61" s="67"/>
    </row>
    <row r="62" spans="1:15" ht="17.25" thickBot="1" x14ac:dyDescent="0.35">
      <c r="A62" s="1"/>
      <c r="B62" s="1" t="s">
        <v>87</v>
      </c>
      <c r="D62" s="121">
        <v>18539</v>
      </c>
      <c r="F62" s="121">
        <v>2000</v>
      </c>
      <c r="G62" s="124">
        <f>D62*F62</f>
        <v>37078000</v>
      </c>
      <c r="H62" s="29"/>
      <c r="I62" s="29"/>
      <c r="J62" s="96">
        <f>SUM(J58:J61)</f>
        <v>77451000</v>
      </c>
      <c r="K62" s="70"/>
      <c r="L62" s="67"/>
      <c r="M62" s="67"/>
      <c r="N62" s="67"/>
      <c r="O62" s="67"/>
    </row>
    <row r="63" spans="1:15" ht="17.25" thickBot="1" x14ac:dyDescent="0.35">
      <c r="A63" s="1"/>
      <c r="B63" s="1"/>
      <c r="F63" s="1"/>
      <c r="G63" s="29"/>
      <c r="H63" s="29"/>
      <c r="I63" s="29"/>
      <c r="K63" s="71"/>
      <c r="L63" s="72"/>
      <c r="M63" s="73"/>
      <c r="N63" s="72"/>
      <c r="O63" s="73"/>
    </row>
    <row r="64" spans="1:15" ht="33.75" thickBot="1" x14ac:dyDescent="0.35">
      <c r="A64" s="1"/>
      <c r="B64" s="83" t="s">
        <v>27</v>
      </c>
      <c r="C64" s="84" t="s">
        <v>77</v>
      </c>
      <c r="D64" s="85" t="s">
        <v>49</v>
      </c>
      <c r="G64" s="92"/>
      <c r="H64" s="123"/>
      <c r="I64" s="29"/>
      <c r="K64" s="68"/>
      <c r="L64" s="69"/>
      <c r="M64" s="67"/>
      <c r="N64" s="67"/>
      <c r="O64" s="67"/>
    </row>
    <row r="65" spans="1:15" ht="17.25" thickBot="1" x14ac:dyDescent="0.35">
      <c r="A65" s="1"/>
      <c r="B65" s="86" t="s">
        <v>78</v>
      </c>
      <c r="C65" s="87" t="s">
        <v>79</v>
      </c>
      <c r="D65" s="88">
        <v>1135</v>
      </c>
      <c r="E65" s="1">
        <f>D65/7</f>
        <v>162.14285714285714</v>
      </c>
      <c r="F65" s="93">
        <v>12500</v>
      </c>
      <c r="G65" s="92">
        <f t="shared" ref="G65:G66" si="16">MROUND(D65*F65,1)</f>
        <v>14187500</v>
      </c>
      <c r="H65" s="123"/>
      <c r="I65" s="29"/>
      <c r="K65" s="68"/>
      <c r="L65" s="69"/>
      <c r="M65" s="67"/>
      <c r="N65" s="67"/>
      <c r="O65" s="67"/>
    </row>
    <row r="66" spans="1:15" ht="17.25" thickBot="1" x14ac:dyDescent="0.35">
      <c r="A66" s="1"/>
      <c r="B66" s="86" t="s">
        <v>80</v>
      </c>
      <c r="C66" s="87" t="s">
        <v>81</v>
      </c>
      <c r="D66" s="88">
        <v>2726</v>
      </c>
      <c r="E66" s="1">
        <f>D66/18</f>
        <v>151.44444444444446</v>
      </c>
      <c r="F66" s="93">
        <v>12500</v>
      </c>
      <c r="G66" s="92">
        <f t="shared" si="16"/>
        <v>34075000</v>
      </c>
      <c r="H66" s="123">
        <f>SUM(G65:G66)</f>
        <v>48262500</v>
      </c>
      <c r="I66" s="29"/>
      <c r="K66" s="74"/>
      <c r="L66" s="146"/>
      <c r="M66" s="137"/>
      <c r="N66" s="137"/>
      <c r="O66" s="137"/>
    </row>
    <row r="67" spans="1:15" ht="17.25" thickBot="1" x14ac:dyDescent="0.35">
      <c r="A67" s="1"/>
      <c r="B67" s="89" t="s">
        <v>82</v>
      </c>
      <c r="C67" s="90"/>
      <c r="D67" s="91">
        <v>3861</v>
      </c>
      <c r="G67" s="92"/>
      <c r="H67" s="123"/>
      <c r="I67" s="29"/>
      <c r="K67" s="68"/>
      <c r="L67" s="147"/>
      <c r="M67" s="138"/>
      <c r="N67" s="138"/>
      <c r="O67" s="138"/>
    </row>
    <row r="68" spans="1:15" ht="17.25" thickBot="1" x14ac:dyDescent="0.35">
      <c r="A68" s="1"/>
      <c r="B68" s="1"/>
      <c r="F68" s="97" t="s">
        <v>84</v>
      </c>
      <c r="G68" s="100">
        <f>SUM(G58:G67)</f>
        <v>1088234166</v>
      </c>
      <c r="H68" s="29"/>
      <c r="I68" s="29"/>
      <c r="K68" s="75"/>
      <c r="L68" s="72"/>
      <c r="M68" s="73"/>
      <c r="N68" s="72"/>
      <c r="O68" s="73"/>
    </row>
    <row r="69" spans="1:15" x14ac:dyDescent="0.3">
      <c r="A69" s="1"/>
      <c r="F69" s="98" t="s">
        <v>88</v>
      </c>
      <c r="G69" s="45">
        <f>MROUND(G68*0.9,1)</f>
        <v>979410749</v>
      </c>
    </row>
    <row r="70" spans="1:15" x14ac:dyDescent="0.3">
      <c r="A70" s="1"/>
      <c r="F70" s="98" t="s">
        <v>86</v>
      </c>
      <c r="G70" s="45">
        <f>MROUND(G68*0.8,1)</f>
        <v>870587333</v>
      </c>
    </row>
    <row r="71" spans="1:15" x14ac:dyDescent="0.3">
      <c r="A71" s="1"/>
      <c r="F71" s="97" t="s">
        <v>40</v>
      </c>
      <c r="G71" s="125">
        <v>77451000</v>
      </c>
    </row>
    <row r="72" spans="1:15" x14ac:dyDescent="0.3">
      <c r="A72" s="1"/>
      <c r="B72" s="1"/>
    </row>
    <row r="73" spans="1:15" x14ac:dyDescent="0.3">
      <c r="A73" s="1"/>
      <c r="B73" s="1">
        <v>45640</v>
      </c>
    </row>
    <row r="74" spans="1:15" x14ac:dyDescent="0.3">
      <c r="A74" s="1"/>
      <c r="B74" s="1">
        <f>B73*1.1</f>
        <v>50204.000000000007</v>
      </c>
      <c r="F74" s="34"/>
    </row>
    <row r="75" spans="1:15" x14ac:dyDescent="0.3">
      <c r="A75" s="1"/>
      <c r="B75" s="1"/>
      <c r="F75" s="34"/>
    </row>
    <row r="76" spans="1:15" x14ac:dyDescent="0.3">
      <c r="A76" s="1"/>
      <c r="B76" s="1"/>
      <c r="F76" s="94"/>
      <c r="G76" s="121"/>
    </row>
    <row r="77" spans="1:15" x14ac:dyDescent="0.3">
      <c r="A77" s="1"/>
      <c r="B77" s="1"/>
      <c r="F77" s="94"/>
      <c r="G77" s="94"/>
    </row>
    <row r="78" spans="1:15" x14ac:dyDescent="0.3">
      <c r="A78" s="1"/>
      <c r="B78" s="1"/>
      <c r="F78" s="34"/>
    </row>
    <row r="79" spans="1:15" x14ac:dyDescent="0.3">
      <c r="A79" s="1"/>
      <c r="B79" s="1"/>
      <c r="F79" s="94">
        <v>35098</v>
      </c>
      <c r="G79" s="6">
        <v>173103336</v>
      </c>
      <c r="H79" s="48">
        <v>5425</v>
      </c>
      <c r="I79" s="92">
        <f>G79/H79</f>
        <v>31908.449032258064</v>
      </c>
      <c r="J79" s="121">
        <f>MROUND((I79*J80)/I80,1)</f>
        <v>31948</v>
      </c>
    </row>
    <row r="80" spans="1:15" x14ac:dyDescent="0.3">
      <c r="A80" s="1"/>
      <c r="B80" s="1"/>
      <c r="F80" s="94">
        <v>50140</v>
      </c>
      <c r="G80" s="6">
        <v>328929932</v>
      </c>
      <c r="H80" s="48">
        <v>7216</v>
      </c>
      <c r="I80" s="92">
        <f t="shared" ref="I80:I82" si="17">G80/H80</f>
        <v>45583.416297117517</v>
      </c>
      <c r="J80" s="121">
        <v>45640</v>
      </c>
    </row>
    <row r="81" spans="1:12" x14ac:dyDescent="0.3">
      <c r="A81" s="1"/>
      <c r="B81" s="1"/>
      <c r="F81" s="94">
        <v>45126</v>
      </c>
      <c r="G81" s="6">
        <v>172348378</v>
      </c>
      <c r="H81" s="48">
        <v>4201</v>
      </c>
      <c r="I81" s="92">
        <f t="shared" si="17"/>
        <v>41025.560104736971</v>
      </c>
      <c r="J81" s="121">
        <f>MROUND((I81*J80)/I80,1)</f>
        <v>41076</v>
      </c>
    </row>
    <row r="82" spans="1:12" x14ac:dyDescent="0.3">
      <c r="A82" s="1"/>
      <c r="B82" s="1"/>
      <c r="F82" s="94">
        <v>40112</v>
      </c>
      <c r="G82" s="6">
        <v>327273808</v>
      </c>
      <c r="H82" s="48">
        <v>8975</v>
      </c>
      <c r="I82" s="92">
        <f t="shared" si="17"/>
        <v>36465.048245125348</v>
      </c>
      <c r="J82" s="121">
        <f>MROUND((J80*I82)/I80,1)</f>
        <v>36510</v>
      </c>
    </row>
    <row r="83" spans="1:12" x14ac:dyDescent="0.3">
      <c r="A83" s="1"/>
      <c r="B83" s="1"/>
      <c r="F83" s="34"/>
    </row>
    <row r="84" spans="1:12" x14ac:dyDescent="0.3">
      <c r="A84" s="1"/>
      <c r="B84" s="1"/>
    </row>
    <row r="85" spans="1:12" x14ac:dyDescent="0.3">
      <c r="A85" s="1"/>
      <c r="B85" s="1"/>
    </row>
    <row r="86" spans="1:12" x14ac:dyDescent="0.3">
      <c r="A86" s="1"/>
      <c r="B86" s="1" t="s">
        <v>45</v>
      </c>
      <c r="D86" s="1">
        <v>6560.23</v>
      </c>
    </row>
    <row r="87" spans="1:12" ht="17.25" thickBot="1" x14ac:dyDescent="0.35">
      <c r="A87" s="1"/>
      <c r="B87" s="1" t="s">
        <v>46</v>
      </c>
      <c r="D87" s="1">
        <v>3819.27</v>
      </c>
      <c r="L87" s="16"/>
    </row>
    <row r="88" spans="1:12" x14ac:dyDescent="0.3">
      <c r="A88" s="1"/>
      <c r="B88" s="1" t="s">
        <v>47</v>
      </c>
      <c r="D88" s="1">
        <v>8159</v>
      </c>
      <c r="F88" s="148" t="s">
        <v>89</v>
      </c>
      <c r="G88" s="148" t="s">
        <v>90</v>
      </c>
      <c r="H88" s="148" t="s">
        <v>91</v>
      </c>
      <c r="I88" s="128" t="s">
        <v>92</v>
      </c>
      <c r="L88" s="16"/>
    </row>
    <row r="89" spans="1:12" ht="17.25" thickBot="1" x14ac:dyDescent="0.35">
      <c r="A89" s="1"/>
      <c r="B89" s="1"/>
      <c r="D89" s="1">
        <f>SUM(D86:D88)</f>
        <v>18538.5</v>
      </c>
      <c r="F89" s="149"/>
      <c r="G89" s="149"/>
      <c r="H89" s="149"/>
      <c r="I89" s="129" t="s">
        <v>93</v>
      </c>
    </row>
    <row r="90" spans="1:12" ht="17.25" thickBot="1" x14ac:dyDescent="0.35">
      <c r="A90" s="1"/>
      <c r="B90" s="1"/>
      <c r="F90" s="130" t="s">
        <v>94</v>
      </c>
      <c r="G90" s="131">
        <v>5425</v>
      </c>
      <c r="H90" s="131">
        <v>20373</v>
      </c>
      <c r="I90" s="131">
        <f>G90*H90</f>
        <v>110523525</v>
      </c>
    </row>
    <row r="91" spans="1:12" ht="17.25" thickBot="1" x14ac:dyDescent="0.35">
      <c r="A91" s="1"/>
      <c r="B91" s="1"/>
      <c r="F91" s="130" t="s">
        <v>95</v>
      </c>
      <c r="G91" s="131">
        <v>7216</v>
      </c>
      <c r="H91" s="131">
        <v>28704</v>
      </c>
      <c r="I91" s="131">
        <f t="shared" ref="I91:I93" si="18">G91*H91</f>
        <v>207128064</v>
      </c>
    </row>
    <row r="92" spans="1:12" ht="17.25" thickBot="1" x14ac:dyDescent="0.35">
      <c r="A92" s="1"/>
      <c r="B92" s="1"/>
      <c r="F92" s="130" t="s">
        <v>96</v>
      </c>
      <c r="G92" s="131">
        <v>4201</v>
      </c>
      <c r="H92" s="131">
        <v>24151</v>
      </c>
      <c r="I92" s="131">
        <f t="shared" si="18"/>
        <v>101458351</v>
      </c>
    </row>
    <row r="93" spans="1:12" ht="17.25" thickBot="1" x14ac:dyDescent="0.35">
      <c r="A93" s="1"/>
      <c r="B93" s="1"/>
      <c r="F93" s="130" t="s">
        <v>97</v>
      </c>
      <c r="G93" s="131">
        <v>8975</v>
      </c>
      <c r="H93" s="131">
        <v>24151</v>
      </c>
      <c r="I93" s="131">
        <f t="shared" si="18"/>
        <v>216755225</v>
      </c>
    </row>
    <row r="94" spans="1:12" ht="17.25" thickBot="1" x14ac:dyDescent="0.35">
      <c r="A94" s="1"/>
      <c r="B94" s="1"/>
      <c r="F94" s="132" t="s">
        <v>98</v>
      </c>
      <c r="G94" s="133"/>
      <c r="H94" s="134"/>
      <c r="I94" s="135">
        <f>SUM(I90:I93)</f>
        <v>635865165</v>
      </c>
    </row>
    <row r="95" spans="1:12" x14ac:dyDescent="0.3">
      <c r="A95" s="1"/>
      <c r="B95" s="1"/>
    </row>
    <row r="96" spans="1:12" x14ac:dyDescent="0.3">
      <c r="A96" s="1"/>
      <c r="B96" s="1"/>
    </row>
    <row r="97" spans="1:2" x14ac:dyDescent="0.3">
      <c r="A97" s="1"/>
      <c r="B97" s="1"/>
    </row>
    <row r="98" spans="1:2" x14ac:dyDescent="0.3">
      <c r="A98" s="1"/>
      <c r="B98" s="1"/>
    </row>
    <row r="99" spans="1:2" x14ac:dyDescent="0.3">
      <c r="A99" s="1"/>
      <c r="B99" s="1"/>
    </row>
    <row r="100" spans="1:2" x14ac:dyDescent="0.3">
      <c r="A100" s="1"/>
      <c r="B100" s="1"/>
    </row>
    <row r="101" spans="1:2" x14ac:dyDescent="0.3">
      <c r="A101" s="1"/>
      <c r="B101" s="1"/>
    </row>
    <row r="102" spans="1:2" x14ac:dyDescent="0.3">
      <c r="A102" s="1"/>
      <c r="B102" s="1"/>
    </row>
    <row r="103" spans="1:2" x14ac:dyDescent="0.3">
      <c r="A103" s="1"/>
      <c r="B103" s="1"/>
    </row>
    <row r="104" spans="1:2" x14ac:dyDescent="0.3">
      <c r="A104" s="1"/>
      <c r="B104" s="1"/>
    </row>
    <row r="105" spans="1:2" x14ac:dyDescent="0.3">
      <c r="A105" s="1"/>
      <c r="B105" s="1"/>
    </row>
    <row r="106" spans="1:2" x14ac:dyDescent="0.3">
      <c r="A106" s="1"/>
      <c r="B106" s="1"/>
    </row>
    <row r="107" spans="1:2" x14ac:dyDescent="0.3">
      <c r="A107" s="1"/>
      <c r="B107" s="1"/>
    </row>
    <row r="108" spans="1:2" x14ac:dyDescent="0.3">
      <c r="A108" s="1"/>
      <c r="B108" s="1"/>
    </row>
    <row r="109" spans="1:2" x14ac:dyDescent="0.3">
      <c r="A109" s="1"/>
      <c r="B109" s="1"/>
    </row>
    <row r="110" spans="1:2" x14ac:dyDescent="0.3">
      <c r="A110" s="1"/>
      <c r="B110" s="1"/>
    </row>
    <row r="111" spans="1:2" x14ac:dyDescent="0.3">
      <c r="A111" s="1"/>
      <c r="B111" s="1"/>
    </row>
    <row r="112" spans="1:2" x14ac:dyDescent="0.3">
      <c r="A112" s="1"/>
      <c r="B112" s="1"/>
    </row>
    <row r="113" spans="1:2" x14ac:dyDescent="0.3">
      <c r="A113" s="1"/>
      <c r="B113" s="1"/>
    </row>
    <row r="114" spans="1:2" x14ac:dyDescent="0.3">
      <c r="A114" s="1"/>
      <c r="B114" s="1"/>
    </row>
    <row r="115" spans="1:2" x14ac:dyDescent="0.3">
      <c r="A115" s="1"/>
      <c r="B115" s="1"/>
    </row>
    <row r="116" spans="1:2" x14ac:dyDescent="0.3">
      <c r="A116" s="1"/>
      <c r="B116" s="1"/>
    </row>
    <row r="117" spans="1:2" x14ac:dyDescent="0.3">
      <c r="A117" s="1"/>
      <c r="B117" s="1"/>
    </row>
    <row r="118" spans="1:2" x14ac:dyDescent="0.3">
      <c r="A118" s="1"/>
      <c r="B118" s="1"/>
    </row>
    <row r="119" spans="1:2" x14ac:dyDescent="0.3">
      <c r="A119" s="1"/>
      <c r="B119" s="1"/>
    </row>
    <row r="120" spans="1:2" x14ac:dyDescent="0.3">
      <c r="A120" s="1"/>
      <c r="B120" s="1"/>
    </row>
    <row r="121" spans="1:2" x14ac:dyDescent="0.3">
      <c r="A121" s="1"/>
      <c r="B121" s="1"/>
    </row>
    <row r="122" spans="1:2" x14ac:dyDescent="0.3">
      <c r="A122" s="1"/>
      <c r="B122" s="1"/>
    </row>
    <row r="123" spans="1:2" x14ac:dyDescent="0.3">
      <c r="A123" s="1"/>
      <c r="B123" s="1"/>
    </row>
    <row r="124" spans="1:2" x14ac:dyDescent="0.3">
      <c r="A124" s="1"/>
      <c r="B124" s="1"/>
    </row>
    <row r="125" spans="1:2" x14ac:dyDescent="0.3">
      <c r="A125" s="1"/>
      <c r="B125" s="1"/>
    </row>
    <row r="126" spans="1:2" x14ac:dyDescent="0.3">
      <c r="A126" s="1"/>
      <c r="B126" s="1"/>
    </row>
    <row r="127" spans="1:2" x14ac:dyDescent="0.3">
      <c r="A127" s="1"/>
      <c r="B127" s="1"/>
    </row>
    <row r="128" spans="1:2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2" x14ac:dyDescent="0.3">
      <c r="A145" s="1"/>
      <c r="B145" s="1"/>
    </row>
    <row r="146" spans="1:2" x14ac:dyDescent="0.3">
      <c r="A146" s="1"/>
      <c r="B146" s="1"/>
    </row>
    <row r="147" spans="1:2" x14ac:dyDescent="0.3">
      <c r="A147" s="1"/>
      <c r="B147" s="1"/>
    </row>
    <row r="148" spans="1:2" x14ac:dyDescent="0.3">
      <c r="A148" s="1"/>
      <c r="B148" s="1"/>
    </row>
    <row r="149" spans="1:2" x14ac:dyDescent="0.3">
      <c r="A149" s="1"/>
      <c r="B149" s="1"/>
    </row>
    <row r="150" spans="1:2" x14ac:dyDescent="0.3">
      <c r="A150" s="1"/>
      <c r="B150" s="1"/>
    </row>
    <row r="151" spans="1:2" x14ac:dyDescent="0.3">
      <c r="A151" s="1"/>
      <c r="B151" s="1"/>
    </row>
    <row r="152" spans="1:2" x14ac:dyDescent="0.3">
      <c r="A152" s="1"/>
      <c r="B152" s="1"/>
    </row>
    <row r="153" spans="1:2" x14ac:dyDescent="0.3">
      <c r="A153" s="1"/>
      <c r="B153" s="1"/>
    </row>
    <row r="154" spans="1:2" x14ac:dyDescent="0.3">
      <c r="A154" s="1"/>
      <c r="B154" s="1"/>
    </row>
    <row r="155" spans="1:2" x14ac:dyDescent="0.3">
      <c r="A155" s="1"/>
      <c r="B155" s="1"/>
    </row>
    <row r="156" spans="1:2" x14ac:dyDescent="0.3">
      <c r="A156" s="1"/>
      <c r="B156" s="1"/>
    </row>
    <row r="157" spans="1:2" x14ac:dyDescent="0.3">
      <c r="A157" s="1"/>
      <c r="B157" s="1"/>
    </row>
    <row r="158" spans="1:2" x14ac:dyDescent="0.3">
      <c r="A158" s="1"/>
      <c r="B158" s="1"/>
    </row>
    <row r="159" spans="1:2" x14ac:dyDescent="0.3">
      <c r="A159" s="1"/>
      <c r="B159" s="1"/>
    </row>
    <row r="160" spans="1:2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  <row r="165" spans="1:2" x14ac:dyDescent="0.3">
      <c r="A165" s="1"/>
      <c r="B165" s="1"/>
    </row>
    <row r="166" spans="1:2" x14ac:dyDescent="0.3">
      <c r="A166" s="1"/>
      <c r="B166" s="1"/>
    </row>
    <row r="167" spans="1:2" x14ac:dyDescent="0.3">
      <c r="A167" s="1"/>
      <c r="B167" s="1"/>
    </row>
    <row r="168" spans="1:2" x14ac:dyDescent="0.3">
      <c r="A168" s="1"/>
      <c r="B168" s="1"/>
    </row>
    <row r="169" spans="1:2" x14ac:dyDescent="0.3">
      <c r="A169" s="1"/>
      <c r="B169" s="1"/>
    </row>
    <row r="170" spans="1:2" x14ac:dyDescent="0.3">
      <c r="A170" s="1"/>
      <c r="B170" s="1"/>
    </row>
    <row r="171" spans="1:2" x14ac:dyDescent="0.3">
      <c r="A171" s="1"/>
      <c r="B171" s="1"/>
    </row>
    <row r="172" spans="1:2" x14ac:dyDescent="0.3">
      <c r="A172" s="1"/>
      <c r="B172" s="1"/>
    </row>
    <row r="173" spans="1:2" x14ac:dyDescent="0.3">
      <c r="A173" s="1"/>
      <c r="B173" s="1"/>
    </row>
    <row r="174" spans="1:2" x14ac:dyDescent="0.3">
      <c r="A174" s="1"/>
      <c r="B174" s="1"/>
    </row>
  </sheetData>
  <mergeCells count="17">
    <mergeCell ref="B18:C18"/>
    <mergeCell ref="B23:C23"/>
    <mergeCell ref="K47:K48"/>
    <mergeCell ref="N47:N48"/>
    <mergeCell ref="L54:L55"/>
    <mergeCell ref="M54:M55"/>
    <mergeCell ref="N54:N55"/>
    <mergeCell ref="O59:O60"/>
    <mergeCell ref="L66:L67"/>
    <mergeCell ref="M66:M67"/>
    <mergeCell ref="N66:N67"/>
    <mergeCell ref="O66:O67"/>
    <mergeCell ref="F88:F89"/>
    <mergeCell ref="G88:G89"/>
    <mergeCell ref="H88:H89"/>
    <mergeCell ref="K59:K60"/>
    <mergeCell ref="N59:N6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52B5B-823C-420B-9EC8-1935FFFFE1EC}">
  <dimension ref="A1:T173"/>
  <sheetViews>
    <sheetView tabSelected="1" topLeftCell="A28" workbookViewId="0">
      <selection activeCell="G48" sqref="G48"/>
    </sheetView>
  </sheetViews>
  <sheetFormatPr defaultRowHeight="16.5" x14ac:dyDescent="0.3"/>
  <cols>
    <col min="1" max="1" width="12.140625" style="35" bestFit="1" customWidth="1"/>
    <col min="2" max="2" width="28.7109375" style="2" customWidth="1"/>
    <col min="3" max="3" width="14.140625" style="1" customWidth="1"/>
    <col min="4" max="4" width="17.42578125" style="1" bestFit="1" customWidth="1"/>
    <col min="5" max="5" width="17.5703125" style="1" bestFit="1" customWidth="1"/>
    <col min="6" max="6" width="18" style="6" bestFit="1" customWidth="1"/>
    <col min="7" max="7" width="17.7109375" style="6" bestFit="1" customWidth="1"/>
    <col min="8" max="8" width="16.140625" style="6" bestFit="1" customWidth="1"/>
    <col min="9" max="9" width="24.5703125" style="6" bestFit="1" customWidth="1"/>
    <col min="10" max="10" width="13.85546875" style="1" bestFit="1" customWidth="1"/>
    <col min="11" max="11" width="47.28515625" style="6" bestFit="1" customWidth="1"/>
    <col min="12" max="12" width="23.7109375" style="1" bestFit="1" customWidth="1"/>
    <col min="13" max="13" width="17.5703125" style="6" bestFit="1" customWidth="1"/>
    <col min="14" max="14" width="14.85546875" style="6" customWidth="1"/>
    <col min="15" max="15" width="14.85546875" style="6" bestFit="1" customWidth="1"/>
    <col min="16" max="16" width="15.28515625" style="1" bestFit="1" customWidth="1"/>
    <col min="17" max="17" width="9.140625" style="1"/>
    <col min="18" max="18" width="11.28515625" style="1" bestFit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19" s="6" customFormat="1" x14ac:dyDescent="0.3">
      <c r="A1" s="104"/>
      <c r="B1" s="105" t="s">
        <v>13</v>
      </c>
      <c r="E1" s="6" t="s">
        <v>38</v>
      </c>
      <c r="F1" s="6" t="s">
        <v>39</v>
      </c>
      <c r="H1" s="6" t="s">
        <v>37</v>
      </c>
      <c r="K1" s="6" t="s">
        <v>25</v>
      </c>
      <c r="O1" s="6" t="s">
        <v>32</v>
      </c>
      <c r="R1" s="6" t="s">
        <v>32</v>
      </c>
    </row>
    <row r="2" spans="1:19" s="6" customFormat="1" x14ac:dyDescent="0.3">
      <c r="A2" s="104"/>
      <c r="B2" s="106" t="s">
        <v>11</v>
      </c>
      <c r="C2" s="107">
        <v>7216</v>
      </c>
      <c r="D2" s="6" t="s">
        <v>43</v>
      </c>
      <c r="E2" s="4">
        <v>0</v>
      </c>
      <c r="F2" s="4">
        <f>MROUND(E2*10.764,1)</f>
        <v>0</v>
      </c>
      <c r="G2" s="22"/>
      <c r="H2" s="6" t="s">
        <v>38</v>
      </c>
      <c r="I2" s="38">
        <v>0</v>
      </c>
      <c r="J2" s="38">
        <f>C2</f>
        <v>7216</v>
      </c>
      <c r="K2" s="38">
        <f>I3</f>
        <v>0</v>
      </c>
      <c r="L2" s="38">
        <f>J2*K2</f>
        <v>0</v>
      </c>
      <c r="O2" s="108" t="s">
        <v>34</v>
      </c>
      <c r="P2" s="42">
        <f>C33</f>
        <v>1088234166</v>
      </c>
      <c r="R2" s="18">
        <f>P2*0.025/12</f>
        <v>2267154.5125000002</v>
      </c>
      <c r="S2" s="17" t="s">
        <v>33</v>
      </c>
    </row>
    <row r="3" spans="1:19" s="6" customFormat="1" x14ac:dyDescent="0.3">
      <c r="A3" s="104"/>
      <c r="B3" s="22" t="s">
        <v>6</v>
      </c>
      <c r="C3" s="17">
        <v>43000</v>
      </c>
      <c r="D3" s="13"/>
      <c r="E3" s="49"/>
      <c r="F3" s="49"/>
      <c r="G3" s="13"/>
      <c r="H3" s="6" t="s">
        <v>39</v>
      </c>
      <c r="I3" s="38">
        <f>MROUND(I2/10.764,1)</f>
        <v>0</v>
      </c>
      <c r="J3" s="38"/>
      <c r="K3" s="38"/>
      <c r="L3" s="38">
        <f>N16</f>
        <v>692605666</v>
      </c>
      <c r="O3" s="108" t="s">
        <v>34</v>
      </c>
      <c r="P3" s="99">
        <v>1088234166</v>
      </c>
      <c r="R3" s="42">
        <f>P3*0.04/12</f>
        <v>3627447.22</v>
      </c>
      <c r="S3" s="109" t="s">
        <v>35</v>
      </c>
    </row>
    <row r="4" spans="1:19" s="6" customFormat="1" x14ac:dyDescent="0.3">
      <c r="A4" s="104"/>
      <c r="B4" s="27" t="s">
        <v>18</v>
      </c>
      <c r="C4" s="38">
        <f>ROUND((C2*C3),0)</f>
        <v>310288000</v>
      </c>
      <c r="I4" s="38"/>
      <c r="J4" s="38"/>
      <c r="K4" s="38"/>
      <c r="L4" s="38">
        <f>SUM(L2:L3)</f>
        <v>692605666</v>
      </c>
      <c r="O4" s="108" t="s">
        <v>34</v>
      </c>
      <c r="P4" s="42">
        <f>C33</f>
        <v>1088234166</v>
      </c>
      <c r="R4" s="18">
        <f>P4*0.033/12</f>
        <v>2992643.9564999999</v>
      </c>
      <c r="S4" s="17" t="s">
        <v>36</v>
      </c>
    </row>
    <row r="5" spans="1:19" s="6" customFormat="1" x14ac:dyDescent="0.3">
      <c r="A5" s="104"/>
      <c r="B5" s="105" t="s">
        <v>14</v>
      </c>
    </row>
    <row r="6" spans="1:19" s="111" customFormat="1" ht="60" x14ac:dyDescent="0.2">
      <c r="A6" s="110" t="s">
        <v>23</v>
      </c>
      <c r="B6" s="4" t="s">
        <v>27</v>
      </c>
      <c r="C6" s="4" t="s">
        <v>30</v>
      </c>
      <c r="D6" s="4" t="s">
        <v>0</v>
      </c>
      <c r="E6" s="4" t="s">
        <v>1</v>
      </c>
      <c r="F6" s="4" t="s">
        <v>2</v>
      </c>
      <c r="G6" s="7" t="s">
        <v>5</v>
      </c>
      <c r="H6" s="4" t="s">
        <v>29</v>
      </c>
      <c r="I6" s="4" t="s">
        <v>28</v>
      </c>
      <c r="J6" s="7" t="s">
        <v>3</v>
      </c>
      <c r="K6" s="7" t="s">
        <v>4</v>
      </c>
      <c r="L6" s="4" t="s">
        <v>16</v>
      </c>
      <c r="M6" s="36" t="s">
        <v>26</v>
      </c>
      <c r="N6" s="4" t="s">
        <v>17</v>
      </c>
      <c r="O6" s="4" t="s">
        <v>41</v>
      </c>
    </row>
    <row r="7" spans="1:19" s="111" customFormat="1" ht="15" x14ac:dyDescent="0.2">
      <c r="A7" s="110"/>
      <c r="B7" s="4"/>
      <c r="C7" s="4" t="s">
        <v>42</v>
      </c>
      <c r="D7" s="4"/>
      <c r="E7" s="4"/>
      <c r="F7" s="4"/>
      <c r="G7" s="7" t="s">
        <v>31</v>
      </c>
      <c r="H7" s="4"/>
      <c r="I7" s="4"/>
      <c r="J7" s="7"/>
      <c r="K7" s="7"/>
      <c r="L7" s="7" t="s">
        <v>31</v>
      </c>
      <c r="M7" s="7" t="s">
        <v>31</v>
      </c>
      <c r="N7" s="7" t="s">
        <v>31</v>
      </c>
      <c r="O7" s="7" t="s">
        <v>31</v>
      </c>
    </row>
    <row r="8" spans="1:19" s="11" customFormat="1" x14ac:dyDescent="0.25">
      <c r="A8" s="112">
        <v>1</v>
      </c>
      <c r="B8" s="113"/>
      <c r="C8" s="107">
        <v>7216</v>
      </c>
      <c r="D8" s="114">
        <v>2016</v>
      </c>
      <c r="E8" s="114">
        <v>2024</v>
      </c>
      <c r="F8" s="114">
        <v>60</v>
      </c>
      <c r="G8" s="115">
        <v>3000</v>
      </c>
      <c r="H8" s="39">
        <f t="shared" ref="H8:H15" si="0">E8-D8</f>
        <v>8</v>
      </c>
      <c r="I8" s="39">
        <f t="shared" ref="I8:I15" si="1">F8-H8</f>
        <v>52</v>
      </c>
      <c r="J8" s="13">
        <f t="shared" ref="J8:J15" si="2">IF(H8&gt;=5,90*H8/F8,0)</f>
        <v>12</v>
      </c>
      <c r="K8" s="39">
        <f t="shared" ref="K8:K15" si="3">G8/100*J8</f>
        <v>360</v>
      </c>
      <c r="L8" s="39">
        <f t="shared" ref="L8:L15" si="4">ROUND((G8-K8),0)</f>
        <v>2640</v>
      </c>
      <c r="M8" s="39">
        <f t="shared" ref="M8:M15" si="5">O8-N8</f>
        <v>2597760</v>
      </c>
      <c r="N8" s="39">
        <f t="shared" ref="N8:N15" si="6">ROUND((L8*C8),0)</f>
        <v>19050240</v>
      </c>
      <c r="O8" s="39">
        <f t="shared" ref="O8:O15" si="7">ROUND((C8*G8),0)</f>
        <v>21648000</v>
      </c>
    </row>
    <row r="9" spans="1:19" s="11" customFormat="1" x14ac:dyDescent="0.25">
      <c r="A9" s="116">
        <v>2</v>
      </c>
      <c r="B9" s="113"/>
      <c r="C9" s="117">
        <v>5425</v>
      </c>
      <c r="D9" s="114">
        <v>2024</v>
      </c>
      <c r="E9" s="114">
        <v>2024</v>
      </c>
      <c r="F9" s="114">
        <v>60</v>
      </c>
      <c r="G9" s="115">
        <v>31948</v>
      </c>
      <c r="H9" s="39">
        <f t="shared" si="0"/>
        <v>0</v>
      </c>
      <c r="I9" s="39">
        <f t="shared" si="1"/>
        <v>60</v>
      </c>
      <c r="J9" s="39">
        <f t="shared" si="2"/>
        <v>0</v>
      </c>
      <c r="K9" s="39">
        <f t="shared" si="3"/>
        <v>0</v>
      </c>
      <c r="L9" s="39">
        <f t="shared" si="4"/>
        <v>31948</v>
      </c>
      <c r="M9" s="39">
        <f t="shared" si="5"/>
        <v>0</v>
      </c>
      <c r="N9" s="39">
        <f t="shared" si="6"/>
        <v>173317900</v>
      </c>
      <c r="O9" s="39">
        <f t="shared" si="7"/>
        <v>173317900</v>
      </c>
    </row>
    <row r="10" spans="1:19" s="11" customFormat="1" ht="17.25" customHeight="1" x14ac:dyDescent="0.25">
      <c r="A10" s="112">
        <v>3</v>
      </c>
      <c r="B10" s="113"/>
      <c r="C10" s="117">
        <v>4201</v>
      </c>
      <c r="D10" s="114">
        <v>2024</v>
      </c>
      <c r="E10" s="114">
        <v>2024</v>
      </c>
      <c r="F10" s="114">
        <v>60</v>
      </c>
      <c r="G10" s="115">
        <v>41076</v>
      </c>
      <c r="H10" s="39">
        <f t="shared" si="0"/>
        <v>0</v>
      </c>
      <c r="I10" s="39">
        <f t="shared" si="1"/>
        <v>60</v>
      </c>
      <c r="J10" s="39">
        <f t="shared" si="2"/>
        <v>0</v>
      </c>
      <c r="K10" s="39">
        <f t="shared" si="3"/>
        <v>0</v>
      </c>
      <c r="L10" s="39">
        <f t="shared" si="4"/>
        <v>41076</v>
      </c>
      <c r="M10" s="39">
        <f t="shared" si="5"/>
        <v>0</v>
      </c>
      <c r="N10" s="39">
        <f t="shared" si="6"/>
        <v>172560276</v>
      </c>
      <c r="O10" s="39">
        <f t="shared" si="7"/>
        <v>172560276</v>
      </c>
    </row>
    <row r="11" spans="1:19" s="11" customFormat="1" x14ac:dyDescent="0.25">
      <c r="A11" s="116">
        <v>4</v>
      </c>
      <c r="B11" s="113"/>
      <c r="C11" s="117">
        <v>8975</v>
      </c>
      <c r="D11" s="114">
        <v>2024</v>
      </c>
      <c r="E11" s="114">
        <v>2024</v>
      </c>
      <c r="F11" s="114">
        <v>60</v>
      </c>
      <c r="G11" s="115">
        <v>36510</v>
      </c>
      <c r="H11" s="39">
        <f t="shared" si="0"/>
        <v>0</v>
      </c>
      <c r="I11" s="39">
        <f t="shared" si="1"/>
        <v>60</v>
      </c>
      <c r="J11" s="39">
        <f t="shared" si="2"/>
        <v>0</v>
      </c>
      <c r="K11" s="39">
        <f t="shared" si="3"/>
        <v>0</v>
      </c>
      <c r="L11" s="39">
        <f t="shared" si="4"/>
        <v>36510</v>
      </c>
      <c r="M11" s="39">
        <f t="shared" si="5"/>
        <v>0</v>
      </c>
      <c r="N11" s="39">
        <f t="shared" si="6"/>
        <v>327677250</v>
      </c>
      <c r="O11" s="39">
        <f t="shared" si="7"/>
        <v>327677250</v>
      </c>
    </row>
    <row r="12" spans="1:19" s="11" customFormat="1" x14ac:dyDescent="0.25">
      <c r="A12" s="112">
        <v>5</v>
      </c>
      <c r="B12" s="113"/>
      <c r="C12" s="117">
        <v>0</v>
      </c>
      <c r="D12" s="114">
        <v>0</v>
      </c>
      <c r="E12" s="114">
        <v>0</v>
      </c>
      <c r="F12" s="114">
        <v>60</v>
      </c>
      <c r="G12" s="115">
        <v>0</v>
      </c>
      <c r="H12" s="39">
        <f t="shared" si="0"/>
        <v>0</v>
      </c>
      <c r="I12" s="39">
        <f t="shared" si="1"/>
        <v>60</v>
      </c>
      <c r="J12" s="39">
        <f t="shared" si="2"/>
        <v>0</v>
      </c>
      <c r="K12" s="39">
        <f t="shared" si="3"/>
        <v>0</v>
      </c>
      <c r="L12" s="39">
        <f t="shared" si="4"/>
        <v>0</v>
      </c>
      <c r="M12" s="39">
        <f t="shared" si="5"/>
        <v>0</v>
      </c>
      <c r="N12" s="39">
        <f t="shared" si="6"/>
        <v>0</v>
      </c>
      <c r="O12" s="39">
        <f t="shared" si="7"/>
        <v>0</v>
      </c>
    </row>
    <row r="13" spans="1:19" s="6" customFormat="1" x14ac:dyDescent="0.3">
      <c r="A13" s="118">
        <v>6</v>
      </c>
      <c r="B13" s="113"/>
      <c r="C13" s="117">
        <v>0</v>
      </c>
      <c r="D13" s="119">
        <v>0</v>
      </c>
      <c r="E13" s="119">
        <v>0</v>
      </c>
      <c r="F13" s="119">
        <v>60</v>
      </c>
      <c r="G13" s="120">
        <v>0</v>
      </c>
      <c r="H13" s="39">
        <f t="shared" si="0"/>
        <v>0</v>
      </c>
      <c r="I13" s="39">
        <f t="shared" si="1"/>
        <v>60</v>
      </c>
      <c r="J13" s="39">
        <f t="shared" si="2"/>
        <v>0</v>
      </c>
      <c r="K13" s="39">
        <f t="shared" si="3"/>
        <v>0</v>
      </c>
      <c r="L13" s="39">
        <f t="shared" si="4"/>
        <v>0</v>
      </c>
      <c r="M13" s="40">
        <f t="shared" si="5"/>
        <v>0</v>
      </c>
      <c r="N13" s="39">
        <f t="shared" si="6"/>
        <v>0</v>
      </c>
      <c r="O13" s="39">
        <f t="shared" si="7"/>
        <v>0</v>
      </c>
    </row>
    <row r="14" spans="1:19" s="6" customFormat="1" x14ac:dyDescent="0.3">
      <c r="A14" s="22">
        <v>7</v>
      </c>
      <c r="B14" s="113"/>
      <c r="C14" s="117">
        <v>0</v>
      </c>
      <c r="D14" s="119">
        <v>0</v>
      </c>
      <c r="E14" s="119">
        <v>0</v>
      </c>
      <c r="F14" s="119">
        <v>60</v>
      </c>
      <c r="G14" s="120">
        <v>0</v>
      </c>
      <c r="H14" s="39">
        <f t="shared" si="0"/>
        <v>0</v>
      </c>
      <c r="I14" s="39">
        <f t="shared" si="1"/>
        <v>60</v>
      </c>
      <c r="J14" s="39">
        <f t="shared" si="2"/>
        <v>0</v>
      </c>
      <c r="K14" s="39">
        <f t="shared" si="3"/>
        <v>0</v>
      </c>
      <c r="L14" s="39">
        <f t="shared" si="4"/>
        <v>0</v>
      </c>
      <c r="M14" s="40">
        <f t="shared" si="5"/>
        <v>0</v>
      </c>
      <c r="N14" s="39">
        <f t="shared" si="6"/>
        <v>0</v>
      </c>
      <c r="O14" s="39">
        <f t="shared" si="7"/>
        <v>0</v>
      </c>
    </row>
    <row r="15" spans="1:19" s="6" customFormat="1" x14ac:dyDescent="0.3">
      <c r="A15" s="118">
        <v>8</v>
      </c>
      <c r="B15" s="113"/>
      <c r="C15" s="117">
        <v>0</v>
      </c>
      <c r="D15" s="119">
        <v>0</v>
      </c>
      <c r="E15" s="119">
        <v>0</v>
      </c>
      <c r="F15" s="119">
        <v>60</v>
      </c>
      <c r="G15" s="120">
        <v>0</v>
      </c>
      <c r="H15" s="39">
        <f t="shared" si="0"/>
        <v>0</v>
      </c>
      <c r="I15" s="39">
        <f t="shared" si="1"/>
        <v>60</v>
      </c>
      <c r="J15" s="39">
        <f t="shared" si="2"/>
        <v>0</v>
      </c>
      <c r="K15" s="39">
        <f t="shared" si="3"/>
        <v>0</v>
      </c>
      <c r="L15" s="39">
        <f t="shared" si="4"/>
        <v>0</v>
      </c>
      <c r="M15" s="40">
        <f t="shared" si="5"/>
        <v>0</v>
      </c>
      <c r="N15" s="39">
        <f t="shared" si="6"/>
        <v>0</v>
      </c>
      <c r="O15" s="39">
        <f t="shared" si="7"/>
        <v>0</v>
      </c>
    </row>
    <row r="16" spans="1:19" s="6" customFormat="1" x14ac:dyDescent="0.3">
      <c r="A16" s="22"/>
      <c r="B16" s="113"/>
      <c r="C16" s="150">
        <f>SUM(C8:C15)</f>
        <v>25817</v>
      </c>
      <c r="D16" s="5"/>
      <c r="E16" s="5"/>
      <c r="F16" s="5"/>
      <c r="G16" s="39"/>
      <c r="H16" s="39"/>
      <c r="I16" s="39"/>
      <c r="J16" s="39"/>
      <c r="K16" s="39"/>
      <c r="L16" s="39"/>
      <c r="M16" s="39">
        <f>SUM(M8:M15)</f>
        <v>2597760</v>
      </c>
      <c r="N16" s="39">
        <f>SUM(N8:N15)</f>
        <v>692605666</v>
      </c>
      <c r="O16" s="39">
        <f>SUM(O8:O15)</f>
        <v>695203426</v>
      </c>
    </row>
    <row r="17" spans="1:20" x14ac:dyDescent="0.3">
      <c r="B17" s="9"/>
      <c r="C17" s="10"/>
      <c r="D17" s="10"/>
      <c r="E17" s="10"/>
      <c r="F17" s="11"/>
      <c r="G17" s="11"/>
      <c r="H17" s="11"/>
      <c r="I17" s="11"/>
      <c r="J17" s="10"/>
      <c r="K17" s="14"/>
      <c r="L17" s="15"/>
      <c r="M17" s="11"/>
      <c r="N17" s="23"/>
      <c r="O17" s="23"/>
    </row>
    <row r="18" spans="1:20" x14ac:dyDescent="0.3">
      <c r="B18" s="143" t="s">
        <v>20</v>
      </c>
      <c r="C18" s="143"/>
      <c r="D18" s="10"/>
      <c r="E18" s="10"/>
      <c r="F18" s="11"/>
      <c r="G18" s="11"/>
      <c r="H18" s="11"/>
      <c r="I18" s="11"/>
      <c r="J18" s="10"/>
      <c r="K18" s="14"/>
      <c r="L18" s="15"/>
      <c r="M18" s="11"/>
      <c r="N18" s="23"/>
      <c r="O18" s="23"/>
    </row>
    <row r="19" spans="1:20" x14ac:dyDescent="0.3">
      <c r="B19" s="20" t="s">
        <v>99</v>
      </c>
      <c r="C19" s="41">
        <v>18539</v>
      </c>
      <c r="D19" s="10"/>
      <c r="E19" s="10"/>
      <c r="F19" s="11"/>
      <c r="G19" s="11"/>
      <c r="H19" s="11"/>
      <c r="I19" s="11"/>
      <c r="J19" s="10"/>
      <c r="K19" s="14"/>
      <c r="L19" s="15"/>
      <c r="M19" s="11"/>
      <c r="N19" s="23"/>
      <c r="O19" s="23"/>
    </row>
    <row r="20" spans="1:20" x14ac:dyDescent="0.3">
      <c r="B20" s="21" t="s">
        <v>6</v>
      </c>
      <c r="C20" s="37">
        <v>2000</v>
      </c>
      <c r="D20" s="10"/>
      <c r="E20" s="10"/>
      <c r="F20" s="11"/>
      <c r="G20" s="11"/>
      <c r="H20" s="11"/>
      <c r="I20" s="11"/>
      <c r="J20" s="10"/>
      <c r="K20" s="14"/>
      <c r="L20" s="15"/>
      <c r="M20" s="11"/>
      <c r="N20" s="23"/>
      <c r="O20" s="23"/>
    </row>
    <row r="21" spans="1:20" x14ac:dyDescent="0.3">
      <c r="B21" s="21" t="s">
        <v>7</v>
      </c>
      <c r="C21" s="40">
        <f>ROUND((C19*C20),0)</f>
        <v>37078000</v>
      </c>
      <c r="D21" s="10"/>
      <c r="E21" s="10"/>
      <c r="F21" s="11"/>
      <c r="G21" s="11"/>
      <c r="H21" s="11"/>
      <c r="I21" s="11"/>
      <c r="J21" s="10"/>
      <c r="K21" s="14"/>
      <c r="L21" s="15"/>
      <c r="M21" s="11"/>
      <c r="N21" s="23"/>
      <c r="O21" s="23"/>
    </row>
    <row r="22" spans="1:20" x14ac:dyDescent="0.3">
      <c r="B22" s="9"/>
      <c r="C22" s="10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</row>
    <row r="23" spans="1:20" ht="22.5" customHeight="1" x14ac:dyDescent="0.3">
      <c r="B23" s="144" t="s">
        <v>15</v>
      </c>
      <c r="C23" s="145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</row>
    <row r="24" spans="1:20" x14ac:dyDescent="0.3">
      <c r="B24" s="20" t="s">
        <v>100</v>
      </c>
      <c r="C24" s="41">
        <v>3861</v>
      </c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</row>
    <row r="25" spans="1:20" x14ac:dyDescent="0.3">
      <c r="B25" s="21" t="s">
        <v>6</v>
      </c>
      <c r="C25" s="37">
        <v>12500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</row>
    <row r="26" spans="1:20" x14ac:dyDescent="0.3">
      <c r="B26" s="21" t="s">
        <v>7</v>
      </c>
      <c r="C26" s="40">
        <f>ROUND((C24*C25),0)</f>
        <v>48262500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</row>
    <row r="27" spans="1:20" x14ac:dyDescent="0.3">
      <c r="B27" s="35"/>
      <c r="C27" s="1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</row>
    <row r="28" spans="1:20" x14ac:dyDescent="0.3">
      <c r="C28" s="8" t="s">
        <v>22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</row>
    <row r="29" spans="1:20" x14ac:dyDescent="0.3">
      <c r="B29" s="2" t="s">
        <v>13</v>
      </c>
      <c r="C29" s="38">
        <f>C4</f>
        <v>310288000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</row>
    <row r="30" spans="1:20" x14ac:dyDescent="0.3">
      <c r="B30" s="2" t="s">
        <v>14</v>
      </c>
      <c r="C30" s="38">
        <f>N16</f>
        <v>692605666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</row>
    <row r="31" spans="1:20" x14ac:dyDescent="0.3">
      <c r="B31" s="2" t="s">
        <v>21</v>
      </c>
      <c r="C31" s="38">
        <f>C21</f>
        <v>37078000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</row>
    <row r="32" spans="1:20" x14ac:dyDescent="0.3">
      <c r="A32" s="1"/>
      <c r="B32" s="2" t="s">
        <v>12</v>
      </c>
      <c r="C32" s="38">
        <f>C26</f>
        <v>48262500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</row>
    <row r="33" spans="1:20" ht="17.25" thickBot="1" x14ac:dyDescent="0.35">
      <c r="A33" s="1"/>
      <c r="B33" s="12" t="s">
        <v>8</v>
      </c>
      <c r="C33" s="42">
        <f>C29+C30+C31+C32</f>
        <v>1088234166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</row>
    <row r="34" spans="1:20" x14ac:dyDescent="0.3">
      <c r="A34" s="1"/>
      <c r="B34" s="12" t="s">
        <v>9</v>
      </c>
      <c r="C34" s="42">
        <f>MROUND(C33*90%,1)</f>
        <v>979410749</v>
      </c>
      <c r="D34" s="11"/>
      <c r="E34" s="11"/>
      <c r="F34" s="11"/>
      <c r="G34" s="11"/>
      <c r="H34" s="11"/>
      <c r="I34" s="148" t="s">
        <v>89</v>
      </c>
      <c r="J34" s="148" t="s">
        <v>90</v>
      </c>
      <c r="K34" s="128" t="s">
        <v>101</v>
      </c>
      <c r="L34" s="128" t="s">
        <v>103</v>
      </c>
      <c r="M34" s="11"/>
      <c r="N34" s="11"/>
      <c r="O34" s="11"/>
      <c r="P34" s="11"/>
      <c r="Q34" s="11"/>
      <c r="R34" s="11"/>
      <c r="S34" s="11"/>
      <c r="T34" s="11"/>
    </row>
    <row r="35" spans="1:20" ht="17.25" thickBot="1" x14ac:dyDescent="0.35">
      <c r="A35" s="1"/>
      <c r="B35" s="12" t="s">
        <v>10</v>
      </c>
      <c r="C35" s="42">
        <f>MROUND(C33*80%,1)</f>
        <v>870587333</v>
      </c>
      <c r="D35" s="18"/>
      <c r="F35" s="16"/>
      <c r="H35" s="28"/>
      <c r="I35" s="149"/>
      <c r="J35" s="149"/>
      <c r="K35" s="129" t="s">
        <v>102</v>
      </c>
      <c r="L35" s="129" t="s">
        <v>93</v>
      </c>
    </row>
    <row r="36" spans="1:20" ht="17.25" thickBot="1" x14ac:dyDescent="0.35">
      <c r="A36" s="1"/>
      <c r="B36" s="2" t="s">
        <v>24</v>
      </c>
      <c r="C36" s="38">
        <f>C16*3000</f>
        <v>77451000</v>
      </c>
      <c r="D36" s="26"/>
      <c r="I36" s="136" t="s">
        <v>104</v>
      </c>
      <c r="J36" s="134"/>
      <c r="K36" s="134"/>
      <c r="L36" s="134"/>
      <c r="O36" s="29"/>
    </row>
    <row r="37" spans="1:20" ht="17.25" thickBot="1" x14ac:dyDescent="0.35">
      <c r="A37" s="1"/>
      <c r="I37" s="130" t="s">
        <v>94</v>
      </c>
      <c r="J37" s="131">
        <v>5425</v>
      </c>
      <c r="K37" s="131">
        <v>31948</v>
      </c>
      <c r="L37" s="131">
        <v>173317900</v>
      </c>
      <c r="O37" s="29"/>
    </row>
    <row r="38" spans="1:20" ht="17.25" thickBot="1" x14ac:dyDescent="0.35">
      <c r="A38" s="1"/>
      <c r="I38" s="130" t="s">
        <v>95</v>
      </c>
      <c r="J38" s="131">
        <v>7216</v>
      </c>
      <c r="K38" s="131">
        <v>45640</v>
      </c>
      <c r="L38" s="131">
        <v>329338240</v>
      </c>
      <c r="O38" s="29"/>
    </row>
    <row r="39" spans="1:20" ht="17.25" thickBot="1" x14ac:dyDescent="0.35">
      <c r="A39" s="1"/>
      <c r="I39" s="130" t="s">
        <v>96</v>
      </c>
      <c r="J39" s="131">
        <v>4201</v>
      </c>
      <c r="K39" s="131">
        <v>41076</v>
      </c>
      <c r="L39" s="131">
        <v>172560276</v>
      </c>
      <c r="O39" s="29"/>
    </row>
    <row r="40" spans="1:20" ht="17.25" thickBot="1" x14ac:dyDescent="0.35">
      <c r="A40" s="2"/>
      <c r="C40" s="2"/>
      <c r="D40" s="2"/>
      <c r="E40" s="2"/>
      <c r="F40" s="2"/>
      <c r="G40" s="2"/>
      <c r="H40" s="2"/>
      <c r="I40" s="130" t="s">
        <v>97</v>
      </c>
      <c r="J40" s="131">
        <v>8975</v>
      </c>
      <c r="K40" s="131">
        <v>36510</v>
      </c>
      <c r="L40" s="131">
        <v>327677250</v>
      </c>
      <c r="M40" s="2"/>
      <c r="N40" s="93"/>
      <c r="O40" s="29"/>
    </row>
    <row r="41" spans="1:20" ht="17.25" thickBot="1" x14ac:dyDescent="0.35">
      <c r="A41" s="2"/>
      <c r="C41" s="2"/>
      <c r="D41" s="2"/>
      <c r="E41" s="2"/>
      <c r="F41" s="2"/>
      <c r="G41" s="2"/>
      <c r="H41" s="2"/>
      <c r="I41" s="136" t="s">
        <v>105</v>
      </c>
      <c r="J41" s="151"/>
      <c r="K41" s="90"/>
      <c r="L41" s="135">
        <v>1002893666</v>
      </c>
      <c r="M41" s="2"/>
      <c r="N41" s="93"/>
      <c r="O41" s="29"/>
    </row>
    <row r="42" spans="1:20" x14ac:dyDescent="0.3">
      <c r="A42" s="2"/>
      <c r="C42" s="2"/>
      <c r="D42" s="2"/>
      <c r="E42" s="2"/>
      <c r="F42" s="2"/>
      <c r="G42" s="2"/>
      <c r="H42" s="2"/>
      <c r="I42" s="148" t="s">
        <v>106</v>
      </c>
      <c r="J42" s="152" t="s">
        <v>107</v>
      </c>
      <c r="K42" s="154" t="s">
        <v>101</v>
      </c>
      <c r="L42" s="154" t="s">
        <v>103</v>
      </c>
      <c r="M42" s="2"/>
      <c r="N42" s="93"/>
      <c r="O42" s="29"/>
    </row>
    <row r="43" spans="1:20" x14ac:dyDescent="0.3">
      <c r="A43" s="2"/>
      <c r="C43" s="2"/>
      <c r="D43" s="2"/>
      <c r="E43" s="2"/>
      <c r="F43" s="2"/>
      <c r="G43" s="2"/>
      <c r="H43" s="2"/>
      <c r="I43" s="159"/>
      <c r="J43" s="152" t="s">
        <v>108</v>
      </c>
      <c r="K43" s="154" t="s">
        <v>102</v>
      </c>
      <c r="L43" s="154" t="s">
        <v>93</v>
      </c>
      <c r="M43" s="2"/>
      <c r="N43" s="93"/>
      <c r="O43" s="29"/>
    </row>
    <row r="44" spans="1:20" x14ac:dyDescent="0.3">
      <c r="A44" s="2"/>
      <c r="C44" s="2"/>
      <c r="D44" s="2"/>
      <c r="E44" s="2"/>
      <c r="F44" s="2"/>
      <c r="G44" s="2"/>
      <c r="H44" s="2"/>
      <c r="I44" s="159"/>
      <c r="J44" s="152" t="s">
        <v>109</v>
      </c>
      <c r="K44" s="155"/>
      <c r="L44" s="155"/>
      <c r="M44" s="2"/>
      <c r="N44" s="93"/>
      <c r="O44" s="29"/>
    </row>
    <row r="45" spans="1:20" ht="17.25" thickBot="1" x14ac:dyDescent="0.35">
      <c r="A45" s="2"/>
      <c r="C45" s="2"/>
      <c r="D45" s="2"/>
      <c r="E45" s="2"/>
      <c r="F45" s="2"/>
      <c r="G45" s="2"/>
      <c r="H45" s="2"/>
      <c r="I45" s="149"/>
      <c r="J45" s="153" t="s">
        <v>110</v>
      </c>
      <c r="K45" s="156"/>
      <c r="L45" s="156"/>
      <c r="M45" s="2"/>
      <c r="N45" s="92"/>
      <c r="O45" s="29"/>
    </row>
    <row r="46" spans="1:20" ht="18.75" thickBot="1" x14ac:dyDescent="0.35">
      <c r="A46" s="2"/>
      <c r="C46" s="2"/>
      <c r="D46" s="2"/>
      <c r="E46" s="2"/>
      <c r="F46" s="2"/>
      <c r="G46" s="2"/>
      <c r="H46" s="2"/>
      <c r="I46" s="130" t="s">
        <v>111</v>
      </c>
      <c r="J46" s="157">
        <v>18539</v>
      </c>
      <c r="K46" s="131">
        <v>2000</v>
      </c>
      <c r="L46" s="131">
        <v>37078000</v>
      </c>
      <c r="M46" s="2"/>
      <c r="N46" s="1"/>
      <c r="O46" s="1"/>
    </row>
    <row r="47" spans="1:20" ht="17.25" thickBot="1" x14ac:dyDescent="0.35">
      <c r="A47" s="2"/>
      <c r="C47" s="2"/>
      <c r="D47" s="2"/>
      <c r="E47" s="2"/>
      <c r="F47" s="2"/>
      <c r="G47" s="2"/>
      <c r="H47" s="2"/>
      <c r="I47" s="136" t="s">
        <v>112</v>
      </c>
      <c r="J47" s="151"/>
      <c r="K47" s="90"/>
      <c r="L47" s="135">
        <v>37078000</v>
      </c>
      <c r="M47" s="2"/>
      <c r="N47" s="1"/>
      <c r="O47" s="1"/>
    </row>
    <row r="48" spans="1:20" x14ac:dyDescent="0.3">
      <c r="A48" s="2"/>
      <c r="C48" s="2"/>
      <c r="D48" s="2"/>
      <c r="E48" s="2"/>
      <c r="F48" s="2"/>
      <c r="G48" s="2"/>
      <c r="H48" s="2"/>
      <c r="I48" s="148" t="s">
        <v>113</v>
      </c>
      <c r="J48" s="154" t="s">
        <v>114</v>
      </c>
      <c r="K48" s="154" t="s">
        <v>101</v>
      </c>
      <c r="L48" s="154" t="s">
        <v>103</v>
      </c>
      <c r="M48" s="2"/>
      <c r="N48" s="1"/>
      <c r="O48" s="1"/>
    </row>
    <row r="49" spans="1:15" ht="17.25" thickBot="1" x14ac:dyDescent="0.35">
      <c r="A49" s="2"/>
      <c r="C49" s="2"/>
      <c r="D49" s="2"/>
      <c r="E49" s="2"/>
      <c r="F49" s="2"/>
      <c r="G49" s="2"/>
      <c r="H49" s="2"/>
      <c r="I49" s="149"/>
      <c r="J49" s="129" t="s">
        <v>110</v>
      </c>
      <c r="K49" s="129" t="s">
        <v>102</v>
      </c>
      <c r="L49" s="129" t="s">
        <v>93</v>
      </c>
      <c r="M49" s="2"/>
      <c r="N49" s="1"/>
      <c r="O49" s="1"/>
    </row>
    <row r="50" spans="1:15" ht="17.25" thickBot="1" x14ac:dyDescent="0.35">
      <c r="A50" s="2"/>
      <c r="C50" s="2"/>
      <c r="D50" s="2"/>
      <c r="E50" s="2"/>
      <c r="F50" s="2"/>
      <c r="G50" s="2"/>
      <c r="H50" s="2"/>
      <c r="I50" s="158" t="s">
        <v>78</v>
      </c>
      <c r="J50" s="157">
        <v>1135</v>
      </c>
      <c r="K50" s="131">
        <v>12500</v>
      </c>
      <c r="L50" s="131">
        <v>14187500</v>
      </c>
      <c r="M50" s="2"/>
      <c r="N50" s="1"/>
      <c r="O50" s="1"/>
    </row>
    <row r="51" spans="1:15" ht="17.25" thickBot="1" x14ac:dyDescent="0.35">
      <c r="A51" s="2"/>
      <c r="C51" s="2"/>
      <c r="D51" s="2"/>
      <c r="E51" s="2"/>
      <c r="F51" s="2"/>
      <c r="G51" s="2"/>
      <c r="H51" s="2"/>
      <c r="I51" s="158" t="s">
        <v>80</v>
      </c>
      <c r="J51" s="157">
        <v>2726</v>
      </c>
      <c r="K51" s="131">
        <v>12500</v>
      </c>
      <c r="L51" s="131">
        <v>34075000</v>
      </c>
      <c r="M51" s="2"/>
      <c r="N51" s="1"/>
      <c r="O51" s="1"/>
    </row>
    <row r="52" spans="1:15" ht="17.25" thickBot="1" x14ac:dyDescent="0.35">
      <c r="A52" s="2"/>
      <c r="C52" s="2"/>
      <c r="D52" s="2"/>
      <c r="E52" s="2"/>
      <c r="F52" s="2"/>
      <c r="G52" s="2"/>
      <c r="H52" s="2"/>
      <c r="I52" s="132" t="s">
        <v>115</v>
      </c>
      <c r="J52" s="151"/>
      <c r="K52" s="90"/>
      <c r="L52" s="135">
        <v>48262500</v>
      </c>
      <c r="M52" s="2"/>
      <c r="N52" s="1"/>
      <c r="O52" s="1"/>
    </row>
    <row r="53" spans="1:15" ht="17.25" thickBot="1" x14ac:dyDescent="0.35">
      <c r="A53" s="2"/>
      <c r="C53" s="2"/>
      <c r="D53" s="2"/>
      <c r="E53" s="2"/>
      <c r="F53" s="2"/>
      <c r="G53" s="2"/>
      <c r="H53" s="2"/>
      <c r="I53" s="132" t="s">
        <v>116</v>
      </c>
      <c r="J53" s="133"/>
      <c r="K53" s="134"/>
      <c r="L53" s="135">
        <v>1088234166</v>
      </c>
      <c r="M53" s="2"/>
      <c r="N53" s="1"/>
      <c r="O53" s="1"/>
    </row>
    <row r="54" spans="1:15" x14ac:dyDescent="0.3">
      <c r="A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1"/>
      <c r="O54" s="1"/>
    </row>
    <row r="55" spans="1:15" x14ac:dyDescent="0.3">
      <c r="A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1"/>
      <c r="O55" s="1"/>
    </row>
    <row r="56" spans="1:15" x14ac:dyDescent="0.3">
      <c r="A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1"/>
      <c r="O56" s="1"/>
    </row>
    <row r="57" spans="1:15" x14ac:dyDescent="0.3">
      <c r="A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1"/>
      <c r="O57" s="1"/>
    </row>
    <row r="58" spans="1:15" x14ac:dyDescent="0.3">
      <c r="A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1"/>
      <c r="O58" s="1"/>
    </row>
    <row r="59" spans="1:15" x14ac:dyDescent="0.3">
      <c r="A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1"/>
      <c r="O59" s="1"/>
    </row>
    <row r="60" spans="1:15" x14ac:dyDescent="0.3">
      <c r="A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1"/>
      <c r="O60" s="1"/>
    </row>
    <row r="61" spans="1:15" x14ac:dyDescent="0.3">
      <c r="A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1"/>
      <c r="O61" s="1"/>
    </row>
    <row r="62" spans="1:15" x14ac:dyDescent="0.3">
      <c r="A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1"/>
      <c r="O62" s="1"/>
    </row>
    <row r="63" spans="1:15" x14ac:dyDescent="0.3">
      <c r="A63" s="2"/>
      <c r="C63" s="2"/>
      <c r="D63" s="2"/>
      <c r="E63" s="2"/>
      <c r="F63" s="2"/>
      <c r="G63" s="2"/>
      <c r="H63" s="2"/>
      <c r="I63" s="2"/>
      <c r="J63" s="2"/>
      <c r="K63" s="2"/>
      <c r="M63" s="1"/>
      <c r="N63" s="1"/>
      <c r="O63" s="1"/>
    </row>
    <row r="64" spans="1:15" x14ac:dyDescent="0.3">
      <c r="A64" s="2"/>
      <c r="C64" s="2"/>
      <c r="D64" s="2"/>
      <c r="E64" s="2"/>
      <c r="F64" s="2"/>
      <c r="G64" s="2"/>
      <c r="H64" s="2"/>
      <c r="I64" s="2"/>
      <c r="J64" s="2"/>
      <c r="K64" s="2"/>
      <c r="M64" s="1"/>
      <c r="N64" s="1"/>
      <c r="O64" s="1"/>
    </row>
    <row r="65" spans="1:15" x14ac:dyDescent="0.3">
      <c r="A65" s="2"/>
      <c r="C65" s="2"/>
      <c r="D65" s="2"/>
      <c r="E65" s="2"/>
      <c r="F65" s="2"/>
      <c r="G65" s="2"/>
      <c r="H65" s="2"/>
      <c r="I65" s="2"/>
      <c r="J65" s="2"/>
      <c r="K65" s="2"/>
      <c r="M65" s="1"/>
      <c r="N65" s="1"/>
      <c r="O65" s="1"/>
    </row>
    <row r="66" spans="1:15" x14ac:dyDescent="0.3">
      <c r="A66" s="2"/>
      <c r="C66" s="2"/>
      <c r="D66" s="2"/>
      <c r="E66" s="2"/>
      <c r="F66" s="2"/>
      <c r="G66" s="2"/>
      <c r="H66" s="2"/>
      <c r="I66" s="2"/>
      <c r="J66" s="2"/>
      <c r="K66" s="2"/>
      <c r="M66" s="1"/>
      <c r="N66" s="1"/>
      <c r="O66" s="1"/>
    </row>
    <row r="67" spans="1:15" x14ac:dyDescent="0.3">
      <c r="A67" s="2"/>
      <c r="C67" s="2"/>
      <c r="D67" s="2"/>
      <c r="E67" s="2"/>
      <c r="F67" s="2"/>
      <c r="G67" s="2"/>
      <c r="H67" s="2"/>
      <c r="I67" s="2"/>
      <c r="J67" s="2"/>
      <c r="K67" s="2"/>
      <c r="M67" s="1"/>
      <c r="N67" s="1"/>
      <c r="O67" s="1"/>
    </row>
    <row r="68" spans="1:15" x14ac:dyDescent="0.3">
      <c r="A68" s="2"/>
      <c r="C68" s="2"/>
      <c r="D68" s="2"/>
      <c r="E68" s="2"/>
      <c r="F68" s="2"/>
      <c r="G68" s="2"/>
      <c r="H68" s="2"/>
      <c r="I68" s="2"/>
      <c r="J68" s="2"/>
      <c r="K68" s="2"/>
      <c r="M68" s="1"/>
      <c r="N68" s="1"/>
      <c r="O68" s="1"/>
    </row>
    <row r="69" spans="1:15" x14ac:dyDescent="0.3">
      <c r="A69" s="2"/>
      <c r="C69" s="2"/>
      <c r="D69" s="2"/>
      <c r="E69" s="2"/>
      <c r="F69" s="2"/>
      <c r="G69" s="2"/>
      <c r="H69" s="2"/>
      <c r="I69" s="2"/>
      <c r="J69" s="2"/>
      <c r="K69" s="2"/>
      <c r="M69" s="1"/>
      <c r="N69" s="1"/>
      <c r="O69" s="1"/>
    </row>
    <row r="70" spans="1:15" x14ac:dyDescent="0.3">
      <c r="A70" s="2"/>
      <c r="C70" s="2"/>
      <c r="D70" s="2"/>
      <c r="E70" s="2"/>
      <c r="F70" s="2"/>
      <c r="G70" s="2"/>
      <c r="H70" s="2"/>
      <c r="I70" s="2"/>
      <c r="J70" s="2"/>
      <c r="K70" s="2"/>
      <c r="M70" s="1"/>
      <c r="N70" s="1"/>
      <c r="O70" s="1"/>
    </row>
    <row r="71" spans="1:15" x14ac:dyDescent="0.3">
      <c r="A71" s="2"/>
      <c r="C71" s="2"/>
      <c r="D71" s="2"/>
      <c r="E71" s="2"/>
      <c r="F71" s="2"/>
      <c r="G71" s="2"/>
      <c r="H71" s="2"/>
      <c r="I71" s="2"/>
      <c r="J71" s="2"/>
      <c r="K71" s="2"/>
      <c r="M71" s="1"/>
      <c r="N71" s="1"/>
      <c r="O71" s="1"/>
    </row>
    <row r="72" spans="1:15" x14ac:dyDescent="0.3">
      <c r="A72" s="2"/>
      <c r="C72" s="2"/>
      <c r="D72" s="2"/>
      <c r="E72" s="2"/>
      <c r="F72" s="2"/>
      <c r="G72" s="2"/>
      <c r="H72" s="2"/>
      <c r="I72" s="2"/>
      <c r="J72" s="2"/>
      <c r="K72" s="2"/>
      <c r="M72" s="1"/>
      <c r="N72" s="1"/>
      <c r="O72" s="1"/>
    </row>
    <row r="73" spans="1:15" x14ac:dyDescent="0.3">
      <c r="A73" s="2"/>
      <c r="C73" s="2"/>
      <c r="D73" s="2"/>
      <c r="E73" s="2"/>
      <c r="F73" s="2"/>
      <c r="G73" s="2"/>
      <c r="H73" s="2"/>
      <c r="I73" s="2"/>
      <c r="J73" s="2"/>
      <c r="K73" s="2"/>
      <c r="M73" s="1"/>
      <c r="N73" s="1"/>
      <c r="O73" s="1"/>
    </row>
    <row r="74" spans="1:15" x14ac:dyDescent="0.3">
      <c r="A74" s="2"/>
      <c r="C74" s="2"/>
      <c r="D74" s="2"/>
      <c r="E74" s="2"/>
      <c r="F74" s="2"/>
      <c r="G74" s="2"/>
      <c r="H74" s="2"/>
      <c r="I74" s="2"/>
      <c r="J74" s="2"/>
      <c r="K74" s="2"/>
      <c r="M74" s="1"/>
      <c r="N74" s="1"/>
      <c r="O74" s="1"/>
    </row>
    <row r="75" spans="1:15" x14ac:dyDescent="0.3">
      <c r="A75" s="2"/>
      <c r="C75" s="2"/>
      <c r="D75" s="2"/>
      <c r="E75" s="2"/>
      <c r="F75" s="2"/>
      <c r="G75" s="2"/>
      <c r="H75" s="2"/>
      <c r="I75" s="2"/>
      <c r="J75" s="2"/>
      <c r="K75" s="2"/>
      <c r="M75" s="1"/>
      <c r="N75" s="1"/>
      <c r="O75" s="1"/>
    </row>
    <row r="76" spans="1:15" x14ac:dyDescent="0.3">
      <c r="A76" s="2"/>
      <c r="C76" s="2"/>
      <c r="D76" s="2"/>
      <c r="E76" s="2"/>
      <c r="F76" s="2"/>
      <c r="G76" s="2"/>
      <c r="H76" s="2"/>
      <c r="I76" s="2"/>
      <c r="J76" s="2"/>
      <c r="K76" s="2"/>
      <c r="M76" s="1"/>
      <c r="N76" s="1"/>
      <c r="O76" s="1"/>
    </row>
    <row r="77" spans="1:15" x14ac:dyDescent="0.3">
      <c r="A77" s="2"/>
      <c r="C77" s="2"/>
      <c r="D77" s="2"/>
      <c r="E77" s="2"/>
      <c r="F77" s="2"/>
      <c r="G77" s="2"/>
      <c r="H77" s="2"/>
      <c r="I77" s="2"/>
      <c r="J77" s="2"/>
      <c r="K77" s="2"/>
      <c r="M77" s="1"/>
      <c r="N77" s="1"/>
      <c r="O77" s="1"/>
    </row>
    <row r="78" spans="1:15" x14ac:dyDescent="0.3">
      <c r="A78" s="2"/>
      <c r="C78" s="2"/>
      <c r="D78" s="2"/>
      <c r="E78" s="2"/>
      <c r="F78" s="2"/>
      <c r="G78" s="2"/>
      <c r="H78" s="2"/>
      <c r="I78" s="2"/>
      <c r="J78" s="2"/>
      <c r="K78" s="2"/>
      <c r="M78" s="1"/>
      <c r="N78" s="1"/>
      <c r="O78" s="1"/>
    </row>
    <row r="79" spans="1:15" x14ac:dyDescent="0.3">
      <c r="A79" s="2"/>
      <c r="C79" s="2"/>
      <c r="D79" s="2"/>
      <c r="E79" s="2"/>
      <c r="F79" s="2"/>
      <c r="G79" s="2"/>
      <c r="H79" s="2"/>
      <c r="I79" s="2"/>
      <c r="J79" s="2"/>
      <c r="K79" s="2"/>
      <c r="M79" s="1"/>
      <c r="N79" s="1"/>
      <c r="O79" s="1"/>
    </row>
    <row r="80" spans="1:15" x14ac:dyDescent="0.3">
      <c r="A80" s="2"/>
      <c r="C80" s="2"/>
      <c r="D80" s="2"/>
      <c r="E80" s="2"/>
      <c r="F80" s="2"/>
      <c r="G80" s="2"/>
      <c r="H80" s="2"/>
      <c r="I80" s="2"/>
      <c r="J80" s="2"/>
      <c r="K80" s="2"/>
      <c r="M80" s="1"/>
      <c r="N80" s="1"/>
      <c r="O80" s="1"/>
    </row>
    <row r="81" spans="1:15" x14ac:dyDescent="0.3">
      <c r="A81" s="2"/>
      <c r="C81" s="2"/>
      <c r="D81" s="2"/>
      <c r="E81" s="2"/>
      <c r="F81" s="2"/>
      <c r="G81" s="2"/>
      <c r="H81" s="2"/>
      <c r="I81" s="2"/>
      <c r="J81" s="2"/>
      <c r="K81" s="2"/>
      <c r="M81" s="1"/>
      <c r="N81" s="1"/>
      <c r="O81" s="1"/>
    </row>
    <row r="82" spans="1:15" x14ac:dyDescent="0.3">
      <c r="A82" s="2"/>
      <c r="C82" s="2"/>
      <c r="D82" s="2"/>
      <c r="E82" s="2"/>
      <c r="F82" s="2"/>
      <c r="G82" s="2"/>
      <c r="H82" s="2"/>
      <c r="I82" s="2"/>
      <c r="J82" s="2"/>
      <c r="K82" s="2"/>
      <c r="M82" s="1"/>
      <c r="N82" s="1"/>
      <c r="O82" s="1"/>
    </row>
    <row r="83" spans="1:15" x14ac:dyDescent="0.3">
      <c r="A83" s="2"/>
      <c r="C83" s="2"/>
      <c r="D83" s="2"/>
      <c r="E83" s="2"/>
      <c r="F83" s="2"/>
      <c r="G83" s="2"/>
      <c r="H83" s="2"/>
      <c r="I83" s="2"/>
      <c r="J83" s="2"/>
      <c r="K83" s="2"/>
      <c r="M83" s="1"/>
      <c r="N83" s="1"/>
      <c r="O83" s="1"/>
    </row>
    <row r="84" spans="1:15" x14ac:dyDescent="0.3">
      <c r="A84" s="2"/>
      <c r="C84" s="2"/>
      <c r="D84" s="2"/>
      <c r="E84" s="2"/>
      <c r="F84" s="2"/>
      <c r="G84" s="2"/>
      <c r="H84" s="2"/>
      <c r="I84" s="2"/>
      <c r="J84" s="2"/>
      <c r="K84" s="2"/>
      <c r="M84" s="1"/>
      <c r="N84" s="1"/>
      <c r="O84" s="1"/>
    </row>
    <row r="85" spans="1:15" x14ac:dyDescent="0.3">
      <c r="A85" s="2"/>
      <c r="C85" s="2"/>
      <c r="D85" s="2"/>
      <c r="E85" s="2"/>
      <c r="F85" s="2"/>
      <c r="G85" s="2"/>
      <c r="H85" s="2"/>
      <c r="I85" s="2"/>
      <c r="J85" s="2"/>
      <c r="K85" s="2"/>
      <c r="M85" s="1"/>
      <c r="N85" s="1"/>
      <c r="O85" s="1"/>
    </row>
    <row r="86" spans="1:15" x14ac:dyDescent="0.3">
      <c r="A86" s="2"/>
      <c r="C86" s="2"/>
      <c r="D86" s="2"/>
      <c r="E86" s="2"/>
      <c r="F86" s="2"/>
      <c r="G86" s="2"/>
      <c r="H86" s="2"/>
      <c r="I86" s="2"/>
      <c r="J86" s="2"/>
      <c r="K86" s="2"/>
      <c r="M86" s="1"/>
      <c r="N86" s="1"/>
      <c r="O86" s="1"/>
    </row>
    <row r="87" spans="1:15" x14ac:dyDescent="0.3">
      <c r="A87" s="2"/>
      <c r="C87" s="2"/>
      <c r="D87" s="2"/>
      <c r="E87" s="2"/>
      <c r="F87" s="2"/>
      <c r="G87" s="2"/>
      <c r="H87" s="2"/>
      <c r="I87" s="2"/>
      <c r="J87" s="2"/>
      <c r="K87" s="2"/>
      <c r="M87" s="1"/>
      <c r="N87" s="1"/>
      <c r="O87" s="1"/>
    </row>
    <row r="88" spans="1:15" x14ac:dyDescent="0.3">
      <c r="A88" s="2"/>
      <c r="C88" s="2"/>
      <c r="D88" s="2"/>
      <c r="E88" s="2"/>
      <c r="F88" s="2"/>
      <c r="G88" s="2"/>
      <c r="H88" s="2"/>
      <c r="I88" s="2"/>
      <c r="J88" s="2"/>
      <c r="K88" s="2"/>
      <c r="M88" s="1"/>
      <c r="N88" s="1"/>
      <c r="O88" s="1"/>
    </row>
    <row r="89" spans="1:15" x14ac:dyDescent="0.3">
      <c r="A89" s="2"/>
      <c r="C89" s="2"/>
      <c r="D89" s="2"/>
      <c r="E89" s="2"/>
      <c r="F89" s="2"/>
      <c r="G89" s="2"/>
      <c r="H89" s="2"/>
      <c r="I89" s="2"/>
      <c r="J89" s="2"/>
      <c r="K89" s="2"/>
      <c r="M89" s="1"/>
      <c r="N89" s="1"/>
      <c r="O89" s="1"/>
    </row>
    <row r="90" spans="1:15" x14ac:dyDescent="0.3">
      <c r="A90" s="2"/>
      <c r="C90" s="2"/>
      <c r="D90" s="2"/>
      <c r="E90" s="2"/>
      <c r="F90" s="2"/>
      <c r="G90" s="2"/>
      <c r="H90" s="2"/>
      <c r="I90" s="2"/>
      <c r="J90" s="2"/>
      <c r="K90" s="2"/>
      <c r="M90" s="1"/>
      <c r="N90" s="1"/>
      <c r="O90" s="1"/>
    </row>
    <row r="91" spans="1:15" x14ac:dyDescent="0.3">
      <c r="A91" s="2"/>
      <c r="C91" s="2"/>
      <c r="D91" s="2"/>
      <c r="E91" s="2"/>
      <c r="F91" s="2"/>
      <c r="G91" s="2"/>
      <c r="H91" s="2"/>
      <c r="I91" s="2"/>
      <c r="J91" s="2"/>
      <c r="K91" s="2"/>
      <c r="M91" s="1"/>
      <c r="N91" s="1"/>
      <c r="O91" s="1"/>
    </row>
    <row r="92" spans="1:15" x14ac:dyDescent="0.3">
      <c r="A92" s="2"/>
      <c r="C92" s="2"/>
      <c r="D92" s="2"/>
      <c r="E92" s="2"/>
      <c r="F92" s="2"/>
      <c r="G92" s="2"/>
      <c r="H92" s="2"/>
      <c r="I92" s="2"/>
      <c r="J92" s="2"/>
      <c r="K92" s="2"/>
      <c r="M92" s="1"/>
      <c r="N92" s="1"/>
      <c r="O92" s="1"/>
    </row>
    <row r="93" spans="1:15" x14ac:dyDescent="0.3">
      <c r="A93" s="2"/>
      <c r="C93" s="2"/>
      <c r="D93" s="2"/>
      <c r="E93" s="2"/>
      <c r="F93" s="2"/>
      <c r="G93" s="2"/>
      <c r="H93" s="2"/>
      <c r="I93" s="2"/>
      <c r="J93" s="2"/>
      <c r="K93" s="2"/>
      <c r="M93" s="1"/>
      <c r="N93" s="1"/>
      <c r="O93" s="1"/>
    </row>
    <row r="94" spans="1:15" x14ac:dyDescent="0.3">
      <c r="A94" s="2"/>
      <c r="C94" s="2"/>
      <c r="D94" s="2"/>
      <c r="E94" s="2"/>
      <c r="F94" s="2"/>
      <c r="G94" s="2"/>
      <c r="H94" s="2"/>
      <c r="I94" s="2"/>
      <c r="J94" s="2"/>
      <c r="K94" s="2"/>
      <c r="M94" s="1"/>
      <c r="N94" s="1"/>
      <c r="O94" s="1"/>
    </row>
    <row r="95" spans="1:15" x14ac:dyDescent="0.3">
      <c r="A95" s="2"/>
      <c r="C95" s="2"/>
      <c r="D95" s="2"/>
      <c r="E95" s="2"/>
      <c r="F95" s="2"/>
      <c r="G95" s="2"/>
      <c r="H95" s="2"/>
      <c r="I95" s="2"/>
      <c r="J95" s="2"/>
      <c r="K95" s="2"/>
      <c r="M95" s="1"/>
      <c r="N95" s="1"/>
      <c r="O95" s="1"/>
    </row>
    <row r="96" spans="1:15" x14ac:dyDescent="0.3">
      <c r="A96" s="2"/>
      <c r="C96" s="2"/>
      <c r="D96" s="2"/>
      <c r="E96" s="2"/>
      <c r="F96" s="2"/>
      <c r="G96" s="2"/>
      <c r="H96" s="2"/>
      <c r="I96" s="2"/>
      <c r="J96" s="2"/>
      <c r="K96" s="2"/>
      <c r="M96" s="1"/>
      <c r="N96" s="1"/>
      <c r="O96" s="1"/>
    </row>
    <row r="97" spans="1:15" x14ac:dyDescent="0.3">
      <c r="A97" s="2"/>
      <c r="C97" s="2"/>
      <c r="D97" s="2"/>
      <c r="E97" s="2"/>
      <c r="F97" s="2"/>
      <c r="G97" s="2"/>
      <c r="H97" s="2"/>
      <c r="I97" s="2"/>
      <c r="J97" s="2"/>
      <c r="K97" s="2"/>
      <c r="M97" s="1"/>
      <c r="N97" s="1"/>
      <c r="O97" s="1"/>
    </row>
    <row r="98" spans="1:15" x14ac:dyDescent="0.3">
      <c r="A98" s="2"/>
      <c r="C98" s="2"/>
      <c r="D98" s="2"/>
      <c r="E98" s="2"/>
      <c r="F98" s="2"/>
      <c r="G98" s="2"/>
      <c r="H98" s="2"/>
      <c r="I98" s="2"/>
      <c r="J98" s="2"/>
      <c r="K98" s="2"/>
      <c r="M98" s="1"/>
      <c r="N98" s="1"/>
      <c r="O98" s="1"/>
    </row>
    <row r="99" spans="1:15" x14ac:dyDescent="0.3">
      <c r="A99" s="2"/>
      <c r="C99" s="2"/>
      <c r="D99" s="2"/>
      <c r="E99" s="2"/>
      <c r="F99" s="2"/>
      <c r="G99" s="2"/>
      <c r="H99" s="2"/>
      <c r="I99" s="2"/>
      <c r="J99" s="2"/>
      <c r="K99" s="2"/>
      <c r="M99" s="1"/>
      <c r="N99" s="1"/>
      <c r="O99" s="1"/>
    </row>
    <row r="100" spans="1:15" x14ac:dyDescent="0.3">
      <c r="A100" s="2"/>
      <c r="C100" s="2"/>
      <c r="D100" s="2"/>
      <c r="E100" s="2"/>
      <c r="F100" s="2"/>
      <c r="G100" s="2"/>
      <c r="H100" s="2"/>
      <c r="I100" s="2"/>
      <c r="J100" s="2"/>
      <c r="K100" s="2"/>
      <c r="M100" s="1"/>
      <c r="N100" s="1"/>
      <c r="O100" s="1"/>
    </row>
    <row r="101" spans="1:15" x14ac:dyDescent="0.3">
      <c r="A101" s="2"/>
      <c r="C101" s="2"/>
      <c r="D101" s="2"/>
      <c r="E101" s="2"/>
      <c r="F101" s="2"/>
      <c r="G101" s="2"/>
      <c r="H101" s="2"/>
      <c r="I101" s="2"/>
      <c r="J101" s="2"/>
      <c r="K101" s="2"/>
      <c r="M101" s="1"/>
      <c r="N101" s="1"/>
      <c r="O101" s="1"/>
    </row>
    <row r="102" spans="1:15" x14ac:dyDescent="0.3">
      <c r="A102" s="2"/>
      <c r="C102" s="2"/>
      <c r="D102" s="2"/>
      <c r="E102" s="2"/>
      <c r="F102" s="2"/>
      <c r="G102" s="2"/>
      <c r="H102" s="2"/>
      <c r="I102" s="2"/>
      <c r="J102" s="2"/>
      <c r="K102" s="2"/>
      <c r="M102" s="1"/>
      <c r="N102" s="1"/>
      <c r="O102" s="1"/>
    </row>
    <row r="103" spans="1:15" x14ac:dyDescent="0.3">
      <c r="A103" s="2"/>
      <c r="C103" s="2"/>
      <c r="D103" s="2"/>
      <c r="E103" s="2"/>
      <c r="F103" s="2"/>
      <c r="G103" s="2"/>
      <c r="H103" s="2"/>
      <c r="I103" s="2"/>
      <c r="J103" s="2"/>
      <c r="K103" s="2"/>
      <c r="M103" s="1"/>
      <c r="N103" s="1"/>
      <c r="O103" s="1"/>
    </row>
    <row r="104" spans="1:15" x14ac:dyDescent="0.3">
      <c r="A104" s="2"/>
      <c r="C104" s="2"/>
      <c r="D104" s="2"/>
      <c r="E104" s="2"/>
      <c r="F104" s="2"/>
      <c r="G104" s="2"/>
      <c r="H104" s="2"/>
      <c r="I104" s="2"/>
      <c r="J104" s="2"/>
      <c r="K104" s="2"/>
      <c r="M104" s="1"/>
      <c r="N104" s="1"/>
      <c r="O104" s="1"/>
    </row>
    <row r="105" spans="1:15" x14ac:dyDescent="0.3">
      <c r="A105" s="1"/>
      <c r="B105" s="1"/>
      <c r="K105" s="1"/>
      <c r="M105" s="1"/>
      <c r="N105" s="1"/>
      <c r="O105" s="1"/>
    </row>
    <row r="106" spans="1:15" x14ac:dyDescent="0.3">
      <c r="A106" s="1"/>
      <c r="B106" s="1"/>
      <c r="K106" s="1"/>
      <c r="M106" s="1"/>
      <c r="N106" s="1"/>
      <c r="O106" s="1"/>
    </row>
    <row r="107" spans="1:15" x14ac:dyDescent="0.3">
      <c r="A107" s="1"/>
      <c r="B107" s="1"/>
      <c r="K107" s="1"/>
      <c r="M107" s="1"/>
      <c r="N107" s="1"/>
      <c r="O107" s="1"/>
    </row>
    <row r="108" spans="1:15" x14ac:dyDescent="0.3">
      <c r="A108" s="1"/>
      <c r="B108" s="1"/>
      <c r="K108" s="1"/>
      <c r="M108" s="1"/>
      <c r="N108" s="1"/>
      <c r="O108" s="1"/>
    </row>
    <row r="109" spans="1:15" x14ac:dyDescent="0.3">
      <c r="A109" s="1"/>
      <c r="B109" s="1"/>
      <c r="K109" s="1"/>
      <c r="M109" s="1"/>
      <c r="N109" s="1"/>
      <c r="O109" s="1"/>
    </row>
    <row r="110" spans="1:15" x14ac:dyDescent="0.3">
      <c r="A110" s="1"/>
      <c r="B110" s="1"/>
      <c r="K110" s="1"/>
      <c r="M110" s="1"/>
      <c r="N110" s="1"/>
      <c r="O110" s="1"/>
    </row>
    <row r="111" spans="1:15" x14ac:dyDescent="0.3">
      <c r="A111" s="1"/>
      <c r="B111" s="1"/>
      <c r="K111" s="1"/>
      <c r="M111" s="1"/>
      <c r="N111" s="1"/>
      <c r="O111" s="1"/>
    </row>
    <row r="112" spans="1:15" x14ac:dyDescent="0.3">
      <c r="A112" s="1"/>
      <c r="B112" s="1"/>
      <c r="K112" s="1"/>
      <c r="M112" s="1"/>
      <c r="N112" s="1"/>
      <c r="O112" s="1"/>
    </row>
    <row r="113" spans="6:9" s="1" customFormat="1" x14ac:dyDescent="0.3">
      <c r="F113" s="6"/>
      <c r="G113" s="6"/>
      <c r="H113" s="6"/>
      <c r="I113" s="6"/>
    </row>
    <row r="114" spans="6:9" s="1" customFormat="1" x14ac:dyDescent="0.3">
      <c r="F114" s="6"/>
      <c r="G114" s="6"/>
      <c r="H114" s="6"/>
      <c r="I114" s="6"/>
    </row>
    <row r="115" spans="6:9" s="1" customFormat="1" x14ac:dyDescent="0.3">
      <c r="F115" s="6"/>
      <c r="G115" s="6"/>
      <c r="H115" s="6"/>
      <c r="I115" s="6"/>
    </row>
    <row r="116" spans="6:9" s="1" customFormat="1" x14ac:dyDescent="0.3">
      <c r="F116" s="6"/>
      <c r="G116" s="6"/>
      <c r="H116" s="6"/>
      <c r="I116" s="6"/>
    </row>
    <row r="117" spans="6:9" s="1" customFormat="1" x14ac:dyDescent="0.3">
      <c r="F117" s="6"/>
      <c r="G117" s="6"/>
      <c r="H117" s="6"/>
      <c r="I117" s="6"/>
    </row>
    <row r="118" spans="6:9" s="1" customFormat="1" x14ac:dyDescent="0.3">
      <c r="F118" s="6"/>
      <c r="G118" s="6"/>
      <c r="H118" s="6"/>
      <c r="I118" s="6"/>
    </row>
    <row r="119" spans="6:9" s="1" customFormat="1" x14ac:dyDescent="0.3">
      <c r="F119" s="6"/>
      <c r="G119" s="6"/>
      <c r="H119" s="6"/>
      <c r="I119" s="6"/>
    </row>
    <row r="120" spans="6:9" s="1" customFormat="1" x14ac:dyDescent="0.3">
      <c r="F120" s="6"/>
      <c r="G120" s="6"/>
      <c r="H120" s="6"/>
      <c r="I120" s="6"/>
    </row>
    <row r="121" spans="6:9" s="1" customFormat="1" x14ac:dyDescent="0.3">
      <c r="F121" s="6"/>
      <c r="G121" s="6"/>
      <c r="H121" s="6"/>
      <c r="I121" s="6"/>
    </row>
    <row r="122" spans="6:9" s="1" customFormat="1" x14ac:dyDescent="0.3">
      <c r="F122" s="6"/>
      <c r="G122" s="6"/>
      <c r="H122" s="6"/>
      <c r="I122" s="6"/>
    </row>
    <row r="123" spans="6:9" s="1" customFormat="1" x14ac:dyDescent="0.3">
      <c r="F123" s="6"/>
      <c r="G123" s="6"/>
      <c r="H123" s="6"/>
      <c r="I123" s="6"/>
    </row>
    <row r="124" spans="6:9" s="1" customFormat="1" x14ac:dyDescent="0.3">
      <c r="F124" s="6"/>
      <c r="G124" s="6"/>
      <c r="H124" s="6"/>
      <c r="I124" s="6"/>
    </row>
    <row r="125" spans="6:9" s="1" customFormat="1" x14ac:dyDescent="0.3">
      <c r="F125" s="6"/>
      <c r="G125" s="6"/>
      <c r="H125" s="6"/>
      <c r="I125" s="6"/>
    </row>
    <row r="126" spans="6:9" s="1" customFormat="1" x14ac:dyDescent="0.3">
      <c r="F126" s="6"/>
      <c r="G126" s="6"/>
      <c r="H126" s="6"/>
      <c r="I126" s="6"/>
    </row>
    <row r="127" spans="6:9" s="1" customFormat="1" x14ac:dyDescent="0.3">
      <c r="F127" s="6"/>
      <c r="G127" s="6"/>
      <c r="H127" s="6"/>
      <c r="I127" s="6"/>
    </row>
    <row r="128" spans="6:9" s="1" customFormat="1" x14ac:dyDescent="0.3">
      <c r="F128" s="6"/>
      <c r="G128" s="6"/>
      <c r="H128" s="6"/>
      <c r="I128" s="6"/>
    </row>
    <row r="129" spans="6:9" s="1" customFormat="1" x14ac:dyDescent="0.3">
      <c r="F129" s="6"/>
      <c r="G129" s="6"/>
      <c r="H129" s="6"/>
      <c r="I129" s="6"/>
    </row>
    <row r="130" spans="6:9" s="1" customFormat="1" x14ac:dyDescent="0.3">
      <c r="F130" s="6"/>
      <c r="G130" s="6"/>
      <c r="H130" s="6"/>
      <c r="I130" s="6"/>
    </row>
    <row r="131" spans="6:9" s="1" customFormat="1" x14ac:dyDescent="0.3">
      <c r="F131" s="6"/>
      <c r="G131" s="6"/>
      <c r="H131" s="6"/>
      <c r="I131" s="6"/>
    </row>
    <row r="132" spans="6:9" s="1" customFormat="1" x14ac:dyDescent="0.3">
      <c r="F132" s="6"/>
      <c r="G132" s="6"/>
      <c r="H132" s="6"/>
      <c r="I132" s="6"/>
    </row>
    <row r="133" spans="6:9" s="1" customFormat="1" x14ac:dyDescent="0.3">
      <c r="F133" s="6"/>
      <c r="G133" s="6"/>
      <c r="H133" s="6"/>
      <c r="I133" s="6"/>
    </row>
    <row r="134" spans="6:9" s="1" customFormat="1" x14ac:dyDescent="0.3">
      <c r="F134" s="6"/>
      <c r="G134" s="6"/>
      <c r="H134" s="6"/>
      <c r="I134" s="6"/>
    </row>
    <row r="135" spans="6:9" s="1" customFormat="1" x14ac:dyDescent="0.3">
      <c r="F135" s="6"/>
      <c r="G135" s="6"/>
      <c r="H135" s="6"/>
      <c r="I135" s="6"/>
    </row>
    <row r="136" spans="6:9" s="1" customFormat="1" x14ac:dyDescent="0.3">
      <c r="F136" s="6"/>
      <c r="G136" s="6"/>
      <c r="H136" s="6"/>
      <c r="I136" s="6"/>
    </row>
    <row r="137" spans="6:9" s="1" customFormat="1" x14ac:dyDescent="0.3">
      <c r="F137" s="6"/>
      <c r="G137" s="6"/>
      <c r="H137" s="6"/>
      <c r="I137" s="6"/>
    </row>
    <row r="138" spans="6:9" s="1" customFormat="1" x14ac:dyDescent="0.3">
      <c r="F138" s="6"/>
      <c r="G138" s="6"/>
      <c r="H138" s="6"/>
      <c r="I138" s="6"/>
    </row>
    <row r="139" spans="6:9" s="1" customFormat="1" x14ac:dyDescent="0.3">
      <c r="F139" s="6"/>
      <c r="G139" s="6"/>
      <c r="H139" s="6"/>
      <c r="I139" s="6"/>
    </row>
    <row r="140" spans="6:9" s="1" customFormat="1" x14ac:dyDescent="0.3">
      <c r="F140" s="6"/>
      <c r="G140" s="6"/>
      <c r="H140" s="6"/>
      <c r="I140" s="6"/>
    </row>
    <row r="141" spans="6:9" s="1" customFormat="1" x14ac:dyDescent="0.3">
      <c r="F141" s="6"/>
      <c r="G141" s="6"/>
      <c r="H141" s="6"/>
      <c r="I141" s="6"/>
    </row>
    <row r="142" spans="6:9" s="1" customFormat="1" x14ac:dyDescent="0.3">
      <c r="F142" s="6"/>
      <c r="G142" s="6"/>
      <c r="H142" s="6"/>
      <c r="I142" s="6"/>
    </row>
    <row r="143" spans="6:9" s="1" customFormat="1" x14ac:dyDescent="0.3">
      <c r="F143" s="6"/>
      <c r="G143" s="6"/>
      <c r="H143" s="6"/>
      <c r="I143" s="6"/>
    </row>
    <row r="144" spans="6:9" s="1" customFormat="1" x14ac:dyDescent="0.3">
      <c r="F144" s="6"/>
      <c r="G144" s="6"/>
      <c r="H144" s="6"/>
      <c r="I144" s="6"/>
    </row>
    <row r="145" spans="1:15" x14ac:dyDescent="0.3">
      <c r="A145" s="1"/>
      <c r="B145" s="1"/>
      <c r="K145" s="1"/>
      <c r="M145" s="1"/>
      <c r="N145" s="1"/>
      <c r="O145" s="1"/>
    </row>
    <row r="146" spans="1:15" x14ac:dyDescent="0.3">
      <c r="A146" s="1"/>
      <c r="B146" s="1"/>
      <c r="K146" s="1"/>
      <c r="M146" s="1"/>
      <c r="N146" s="1"/>
      <c r="O146" s="1"/>
    </row>
    <row r="147" spans="1:15" x14ac:dyDescent="0.3">
      <c r="A147" s="1"/>
      <c r="B147" s="1"/>
      <c r="K147" s="1"/>
      <c r="M147" s="1"/>
      <c r="N147" s="1"/>
      <c r="O147" s="1"/>
    </row>
    <row r="148" spans="1:15" x14ac:dyDescent="0.3">
      <c r="A148" s="1"/>
      <c r="B148" s="1"/>
      <c r="K148" s="1"/>
      <c r="M148" s="1"/>
      <c r="N148" s="1"/>
      <c r="O148" s="1"/>
    </row>
    <row r="149" spans="1:15" x14ac:dyDescent="0.3">
      <c r="A149" s="1"/>
      <c r="B149" s="1"/>
      <c r="K149" s="1"/>
      <c r="M149" s="1"/>
      <c r="N149" s="1"/>
      <c r="O149" s="1"/>
    </row>
    <row r="150" spans="1:15" x14ac:dyDescent="0.3">
      <c r="A150" s="1"/>
      <c r="B150" s="1"/>
      <c r="K150" s="1"/>
      <c r="M150" s="1"/>
      <c r="N150" s="1"/>
      <c r="O150" s="1"/>
    </row>
    <row r="151" spans="1:15" x14ac:dyDescent="0.3">
      <c r="A151" s="1"/>
      <c r="B151" s="1"/>
      <c r="K151" s="1"/>
      <c r="M151" s="1"/>
      <c r="N151" s="1"/>
      <c r="O151" s="1"/>
    </row>
    <row r="152" spans="1:15" x14ac:dyDescent="0.3">
      <c r="A152" s="1"/>
      <c r="B152" s="1"/>
      <c r="K152" s="1"/>
      <c r="M152" s="1"/>
      <c r="N152" s="1"/>
      <c r="O152" s="1"/>
    </row>
    <row r="153" spans="1:15" x14ac:dyDescent="0.3">
      <c r="A153" s="1"/>
      <c r="B153" s="1"/>
      <c r="K153" s="1"/>
      <c r="M153" s="1"/>
      <c r="N153" s="1"/>
      <c r="O153" s="1"/>
    </row>
    <row r="154" spans="1:15" x14ac:dyDescent="0.3">
      <c r="A154" s="1"/>
      <c r="B154" s="1"/>
      <c r="K154" s="1"/>
      <c r="M154" s="1"/>
      <c r="N154" s="1"/>
      <c r="O154" s="1"/>
    </row>
    <row r="155" spans="1:15" x14ac:dyDescent="0.3">
      <c r="A155" s="1"/>
      <c r="B155" s="1"/>
      <c r="K155" s="1"/>
      <c r="M155" s="1"/>
      <c r="N155" s="1"/>
      <c r="O155" s="1"/>
    </row>
    <row r="156" spans="1:15" x14ac:dyDescent="0.3">
      <c r="A156" s="1"/>
      <c r="B156" s="1"/>
      <c r="K156" s="1"/>
      <c r="M156" s="1"/>
      <c r="N156" s="1"/>
      <c r="O156" s="1"/>
    </row>
    <row r="157" spans="1:15" x14ac:dyDescent="0.3">
      <c r="A157" s="1"/>
      <c r="B157" s="1"/>
      <c r="K157" s="1"/>
      <c r="M157" s="1"/>
      <c r="N157" s="1"/>
      <c r="O157" s="1"/>
    </row>
    <row r="158" spans="1:15" x14ac:dyDescent="0.3">
      <c r="A158" s="1"/>
      <c r="B158" s="1"/>
      <c r="K158" s="1"/>
      <c r="M158" s="1"/>
      <c r="N158" s="1"/>
      <c r="O158" s="1"/>
    </row>
    <row r="159" spans="1:15" x14ac:dyDescent="0.3">
      <c r="A159" s="1"/>
      <c r="B159" s="1"/>
      <c r="K159" s="1"/>
      <c r="M159" s="1"/>
      <c r="N159" s="1"/>
      <c r="O159" s="1"/>
    </row>
    <row r="160" spans="1:15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  <row r="165" spans="1:2" x14ac:dyDescent="0.3">
      <c r="A165" s="1"/>
      <c r="B165" s="1"/>
    </row>
    <row r="166" spans="1:2" x14ac:dyDescent="0.3">
      <c r="A166" s="1"/>
      <c r="B166" s="1"/>
    </row>
    <row r="167" spans="1:2" x14ac:dyDescent="0.3">
      <c r="A167" s="1"/>
      <c r="B167" s="1"/>
    </row>
    <row r="168" spans="1:2" x14ac:dyDescent="0.3">
      <c r="A168" s="1"/>
      <c r="B168" s="1"/>
    </row>
    <row r="169" spans="1:2" x14ac:dyDescent="0.3">
      <c r="A169" s="1"/>
      <c r="B169" s="1"/>
    </row>
    <row r="170" spans="1:2" x14ac:dyDescent="0.3">
      <c r="A170" s="1"/>
      <c r="B170" s="1"/>
    </row>
    <row r="171" spans="1:2" x14ac:dyDescent="0.3">
      <c r="A171" s="1"/>
      <c r="B171" s="1"/>
    </row>
    <row r="172" spans="1:2" x14ac:dyDescent="0.3">
      <c r="A172" s="1"/>
      <c r="B172" s="1"/>
    </row>
    <row r="173" spans="1:2" x14ac:dyDescent="0.3">
      <c r="A173" s="1"/>
      <c r="B173" s="1"/>
    </row>
  </sheetData>
  <mergeCells count="6">
    <mergeCell ref="I34:I35"/>
    <mergeCell ref="J34:J35"/>
    <mergeCell ref="I42:I45"/>
    <mergeCell ref="I48:I49"/>
    <mergeCell ref="B18:C18"/>
    <mergeCell ref="B23:C2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ACD16-C90D-4511-BDBC-925C7126274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0DA96-B26C-4245-BFA6-FDF4BD229C9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872CE-6E54-49C7-8362-400D6CB256AB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3192D-E113-4CFB-A8A0-6057BB9CB49A}">
  <dimension ref="A1"/>
  <sheetViews>
    <sheetView topLeftCell="A31" workbookViewId="0">
      <selection activeCell="A57" sqref="A5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9737A-0A29-4F5B-914B-1772D95D745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3B9AF-829C-4C61-B990-F0F12DE12D0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Carpet Area</vt:lpstr>
      <vt:lpstr>Built  up area</vt:lpstr>
      <vt:lpstr>Revised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2024-01-30T06:21:20Z</dcterms:modified>
</cp:coreProperties>
</file>