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B\SME Fort\PEMS Engineering Consultants Pvt Ltd\"/>
    </mc:Choice>
  </mc:AlternateContent>
  <xr:revisionPtr revIDLastSave="0" documentId="13_ncr:1_{4C683885-D744-4BB3-B558-D014892D47E1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Summary" sheetId="26" r:id="rId4"/>
    <sheet name="22-23" sheetId="4" r:id="rId5"/>
    <sheet name="Sheet1" sheetId="13" r:id="rId6"/>
    <sheet name="Sheet2" sheetId="14" r:id="rId7"/>
    <sheet name="Sheet3" sheetId="15" r:id="rId8"/>
    <sheet name="Sheet4" sheetId="16" r:id="rId9"/>
    <sheet name="Sheet5" sheetId="17" r:id="rId10"/>
    <sheet name="Sheet6" sheetId="18" r:id="rId11"/>
    <sheet name="Sheet7" sheetId="19" r:id="rId12"/>
    <sheet name="Sheet8" sheetId="20" r:id="rId13"/>
    <sheet name="Sheet9" sheetId="21" r:id="rId14"/>
    <sheet name="Sheet10" sheetId="22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9" i="26" l="1"/>
  <c r="O9" i="26"/>
  <c r="P8" i="26"/>
  <c r="O8" i="26"/>
  <c r="P7" i="26"/>
  <c r="O7" i="26"/>
  <c r="P6" i="26"/>
  <c r="O6" i="26"/>
  <c r="P5" i="26"/>
  <c r="O5" i="26"/>
  <c r="N48" i="4"/>
  <c r="L5" i="26"/>
  <c r="M5" i="26" s="1"/>
  <c r="H7" i="26"/>
  <c r="J7" i="26" s="1"/>
  <c r="G12" i="26"/>
  <c r="C10" i="26"/>
  <c r="F9" i="26"/>
  <c r="E9" i="26"/>
  <c r="C9" i="26"/>
  <c r="G8" i="26"/>
  <c r="H8" i="26" s="1"/>
  <c r="J8" i="26" s="1"/>
  <c r="G7" i="26"/>
  <c r="G6" i="26"/>
  <c r="H6" i="26" s="1"/>
  <c r="J6" i="26" s="1"/>
  <c r="G5" i="26"/>
  <c r="H5" i="26" s="1"/>
  <c r="J5" i="26" s="1"/>
  <c r="N45" i="4"/>
  <c r="O44" i="4"/>
  <c r="P44" i="4" s="1"/>
  <c r="Q44" i="4" s="1"/>
  <c r="J44" i="4"/>
  <c r="J43" i="4"/>
  <c r="Q43" i="4" s="1"/>
  <c r="Q42" i="4"/>
  <c r="J42" i="4"/>
  <c r="O41" i="4"/>
  <c r="P41" i="4" s="1"/>
  <c r="J41" i="4"/>
  <c r="J45" i="4" s="1"/>
  <c r="N7" i="26" l="1"/>
  <c r="N6" i="26"/>
  <c r="A6" i="26"/>
  <c r="L8" i="26"/>
  <c r="M8" i="26" s="1"/>
  <c r="N8" i="26" s="1"/>
  <c r="G9" i="26"/>
  <c r="J9" i="26"/>
  <c r="G11" i="26"/>
  <c r="P45" i="4"/>
  <c r="Q41" i="4"/>
  <c r="Q45" i="4"/>
  <c r="R45" i="4" s="1"/>
  <c r="D46" i="4"/>
  <c r="H48" i="4"/>
  <c r="M9" i="26" l="1"/>
  <c r="N9" i="26"/>
  <c r="N5" i="26"/>
  <c r="I25" i="4"/>
  <c r="G25" i="4"/>
  <c r="H42" i="4" l="1"/>
  <c r="B42" i="4" s="1"/>
  <c r="H43" i="4"/>
  <c r="H44" i="4"/>
  <c r="H41" i="4"/>
  <c r="D45" i="4"/>
  <c r="G45" i="4"/>
  <c r="F45" i="4"/>
  <c r="G30" i="4"/>
  <c r="H47" i="4" l="1"/>
  <c r="H45" i="4"/>
  <c r="C5" i="25" l="1"/>
  <c r="C4" i="25"/>
  <c r="C3" i="25"/>
  <c r="Q2" i="4"/>
  <c r="B2" i="4" s="1"/>
  <c r="C2" i="4" s="1"/>
  <c r="P3" i="4"/>
  <c r="B3" i="4" s="1"/>
  <c r="C3" i="4" s="1"/>
  <c r="D3" i="4" s="1"/>
  <c r="P4" i="4"/>
  <c r="P5" i="4"/>
  <c r="Q6" i="4"/>
  <c r="B6" i="4" s="1"/>
  <c r="C6" i="4" s="1"/>
  <c r="P7" i="4"/>
  <c r="Q7" i="4" s="1"/>
  <c r="B7" i="4" s="1"/>
  <c r="C7" i="4" s="1"/>
  <c r="D7" i="4" s="1"/>
  <c r="P8" i="4"/>
  <c r="Q8" i="4" s="1"/>
  <c r="B8" i="4" s="1"/>
  <c r="C8" i="4" s="1"/>
  <c r="D8" i="4" s="1"/>
  <c r="P9" i="4"/>
  <c r="Q9" i="4" s="1"/>
  <c r="B9" i="4" s="1"/>
  <c r="C9" i="4" s="1"/>
  <c r="D9" i="4" s="1"/>
  <c r="P10" i="4"/>
  <c r="Q10" i="4" s="1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31" i="4"/>
  <c r="G33" i="4"/>
  <c r="G35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3" i="4"/>
  <c r="G34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<sst xmlns="http://schemas.openxmlformats.org/spreadsheetml/2006/main" count="176" uniqueCount="106">
  <si>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</si>
  <si>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</si>
  <si>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</si>
  <si>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</si>
  <si>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</si>
  <si>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</si>
  <si>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</si>
  <si>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</si>
  <si>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</si>
  <si>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</si>
  <si>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</si>
  <si>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</si>
  <si>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</si>
  <si>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</si>
  <si>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</si>
  <si>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</si>
  <si>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</si>
  <si>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</si>
  <si>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</si>
  <si>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</si>
  <si>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</si>
  <si>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</si>
  <si>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</si>
  <si>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</si>
  <si>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</si>
  <si>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</si>
  <si>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</si>
  <si>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</si>
  <si>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</si>
  <si>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</si>
  <si>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</si>
  <si>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</si>
  <si>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</si>
  <si>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</si>
  <si>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</si>
  <si>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</si>
  <si>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</si>
  <si>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</si>
  <si>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</si>
  <si>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</si>
  <si>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</si>
  <si>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</si>
  <si>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</si>
  <si>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</si>
  <si>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</si>
  <si>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</si>
  <si>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</si>
  <si>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</si>
  <si>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</si>
  <si>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</si>
  <si>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</si>
  <si>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</si>
  <si>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</si>
  <si>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</si>
  <si>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</si>
  <si>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</si>
  <si>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</si>
  <si>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</si>
  <si>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</si>
  <si>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</si>
  <si>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</si>
  <si>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</si>
  <si>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</si>
  <si>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</si>
  <si>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</si>
  <si>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</si>
  <si>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</si>
  <si>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</si>
  <si>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</si>
  <si>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</si>
  <si>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</si>
  <si>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</si>
  <si>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</si>
  <si>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</si>
  <si>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</si>
  <si>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</si>
  <si>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</si>
  <si>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</si>
  <si>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</si>
  <si>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</si>
  <si>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</si>
  <si>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</si>
  <si>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</si>
  <si>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</si>
  <si>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06.08.2018</t>
  </si>
  <si>
    <t>ACA</t>
  </si>
  <si>
    <t>BALC</t>
  </si>
  <si>
    <t>VERANDA &amp; TERRACE</t>
  </si>
  <si>
    <t>Engineer - 7.65 Crs</t>
  </si>
  <si>
    <t>MCA</t>
  </si>
  <si>
    <t>TMCA</t>
  </si>
  <si>
    <t>Office No. 1201 to 1204 merged</t>
  </si>
  <si>
    <t>Office No.</t>
  </si>
  <si>
    <t>Agreement Value</t>
  </si>
  <si>
    <t>Agreement Date</t>
  </si>
  <si>
    <t>TACA</t>
  </si>
  <si>
    <t>Total Value</t>
  </si>
  <si>
    <t>Office</t>
  </si>
  <si>
    <t>Terrace</t>
  </si>
  <si>
    <t>ASBUA</t>
  </si>
  <si>
    <t xml:space="preserve">Engineer </t>
  </si>
  <si>
    <t>Total ACA</t>
  </si>
  <si>
    <t>Total MCA</t>
  </si>
  <si>
    <t>Total Fair Market Value</t>
  </si>
  <si>
    <t>Realizable Value</t>
  </si>
  <si>
    <t>Distress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</si>
</sst>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9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43" fontId="2" fillId="2" borderId="0" xfId="1" applyFont="1" applyFill="1"/>
    <xf numFmtId="43" fontId="2" fillId="2" borderId="0" xfId="0" applyNumberFormat="1" applyFont="1" applyFill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43" fontId="0" fillId="0" borderId="0" xfId="1" applyFont="1" applyAlignment="1">
      <alignment wrapText="1"/>
    </xf>
    <xf numFmtId="43" fontId="0" fillId="0" borderId="9" xfId="1" applyFont="1" applyBorder="1" applyAlignment="1">
      <alignment wrapText="1"/>
    </xf>
    <xf numFmtId="43" fontId="2" fillId="2" borderId="9" xfId="0" applyNumberFormat="1" applyFont="1" applyFill="1" applyBorder="1" applyAlignment="1">
      <alignment wrapText="1"/>
    </xf>
    <xf numFmtId="43" fontId="0" fillId="0" borderId="0" xfId="0" applyNumberFormat="1" applyAlignment="1">
      <alignment wrapText="1"/>
    </xf>
    <xf numFmtId="43" fontId="2" fillId="0" borderId="0" xfId="1" applyFont="1" applyAlignment="1">
      <alignment horizontal="center" vertical="center" wrapText="1"/>
    </xf>
    <xf numFmtId="43" fontId="2" fillId="0" borderId="9" xfId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43" fontId="0" fillId="0" borderId="9" xfId="1" applyFont="1" applyFill="1" applyBorder="1" applyAlignment="1">
      <alignment wrapText="1"/>
    </xf>
    <xf numFmtId="43" fontId="2" fillId="0" borderId="9" xfId="1" applyFont="1" applyFill="1" applyBorder="1" applyAlignment="1">
      <alignment wrapText="1"/>
    </xf>
    <xf numFmtId="43" fontId="2" fillId="0" borderId="9" xfId="1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wrapText="1"/>
    </xf>
    <xf numFmtId="0" fontId="0" fillId="0" borderId="9" xfId="0" applyFill="1" applyBorder="1" applyAlignment="1">
      <alignment wrapText="1"/>
    </xf>
    <xf numFmtId="43" fontId="0" fillId="0" borderId="9" xfId="0" applyNumberFormat="1" applyFill="1" applyBorder="1" applyAlignment="1">
      <alignment wrapText="1"/>
    </xf>
    <xf numFmtId="43" fontId="2" fillId="0" borderId="9" xfId="0" applyNumberFormat="1" applyFont="1" applyFill="1" applyBorder="1" applyAlignment="1">
      <alignment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40147</xdr:colOff>
      <xdr:row>47</xdr:row>
      <xdr:rowOff>48844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7CDD9B-81AE-4794-A5CB-B5C9FB0A9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70547" cy="8735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468492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867D48-A727-4035-B12C-7D92E1D3B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60492" cy="8945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116273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935AB6-CBB7-4A15-9794-C1E16DFDF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37073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249642</xdr:colOff>
      <xdr:row>49</xdr:row>
      <xdr:rowOff>96493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374388-75C2-4F6F-9862-E73D9B611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270442" cy="8907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145107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3D6E85-C06E-486A-92FD-219488746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94707" cy="8907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301828.45399999997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331228.45399999997</v>
      </c>
      <c r="D9" s="63" t="s">
        <v>62</v>
      </c>
      <c r="E9" s="64">
        <f>C9/10.764</f>
        <v>30771.87421033073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2018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6</v>
      </c>
      <c r="D13" s="70">
        <f>D12-C13</f>
        <v>94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H25" sqref="H2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14100</v>
      </c>
      <c r="D3" s="24" t="s">
        <v>75</v>
      </c>
      <c r="E3" s="6" t="s">
        <v>76</v>
      </c>
      <c r="F3" s="19"/>
    </row>
    <row r="4" spans="1:6" ht="30" x14ac:dyDescent="0.25">
      <c r="A4" s="23" t="s">
        <v>14</v>
      </c>
      <c r="B4" s="20"/>
      <c r="C4" s="21">
        <v>0</v>
      </c>
      <c r="D4" s="24"/>
      <c r="F4" s="19"/>
    </row>
    <row r="5" spans="1:6" x14ac:dyDescent="0.25">
      <c r="A5" s="16" t="s">
        <v>15</v>
      </c>
      <c r="B5" s="20"/>
      <c r="C5" s="21">
        <f>C3-C4</f>
        <v>14100</v>
      </c>
      <c r="D5" s="24"/>
      <c r="F5" s="19"/>
    </row>
    <row r="6" spans="1:6" x14ac:dyDescent="0.25">
      <c r="A6" s="16" t="s">
        <v>16</v>
      </c>
      <c r="B6" s="20"/>
      <c r="C6" s="21">
        <f>C4</f>
        <v>0</v>
      </c>
      <c r="D6" s="24"/>
      <c r="F6" s="19"/>
    </row>
    <row r="7" spans="1:6" x14ac:dyDescent="0.25">
      <c r="A7" s="16" t="s">
        <v>17</v>
      </c>
      <c r="B7" s="25"/>
      <c r="C7" s="26">
        <f>D7-D8</f>
        <v>6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54</v>
      </c>
      <c r="D8" s="26">
        <v>2018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9</v>
      </c>
      <c r="D10" s="26"/>
      <c r="F10" s="19"/>
    </row>
    <row r="11" spans="1:6" x14ac:dyDescent="0.25">
      <c r="A11" s="16"/>
      <c r="B11" s="27"/>
      <c r="C11" s="28">
        <f>C10%</f>
        <v>0.09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0</v>
      </c>
      <c r="D13" s="24"/>
      <c r="F13" s="19"/>
    </row>
    <row r="14" spans="1:6" x14ac:dyDescent="0.25">
      <c r="A14" s="16" t="s">
        <v>15</v>
      </c>
      <c r="B14" s="20"/>
      <c r="C14" s="21">
        <f>C5</f>
        <v>14100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14100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0</v>
      </c>
      <c r="D18" s="26"/>
      <c r="F18" s="19"/>
    </row>
    <row r="19" spans="1:6" x14ac:dyDescent="0.25">
      <c r="A19" s="16" t="s">
        <v>73</v>
      </c>
      <c r="B19" s="6"/>
      <c r="C19" s="32">
        <f>C18*C16</f>
        <v>0</v>
      </c>
      <c r="D19" s="33"/>
      <c r="E19" s="70"/>
      <c r="F19" s="34"/>
    </row>
    <row r="20" spans="1:6" x14ac:dyDescent="0.25">
      <c r="A20" s="16" t="s">
        <v>24</v>
      </c>
      <c r="C20" s="35">
        <f>C19*90%</f>
        <v>0</v>
      </c>
      <c r="D20" s="32"/>
      <c r="F20" s="19"/>
    </row>
    <row r="21" spans="1:6" x14ac:dyDescent="0.25">
      <c r="A21" s="16" t="s">
        <v>25</v>
      </c>
      <c r="C21" s="35">
        <f>C19*80%</f>
        <v>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DB03E-9490-4DD6-A951-CE411FA45957}">
  <dimension ref="A3:P12"/>
  <sheetViews>
    <sheetView tabSelected="1" workbookViewId="0">
      <selection activeCell="M24" sqref="M24"/>
    </sheetView>
  </sheetViews>
  <sheetFormatPr defaultRowHeight="15" x14ac:dyDescent="0.25"/>
  <cols>
    <col min="1" max="1" width="10" style="1" bestFit="1" customWidth="1"/>
    <col min="2" max="2" width="11.42578125" style="1" hidden="1" customWidth="1"/>
    <col min="3" max="3" width="14.28515625" style="1" hidden="1" customWidth="1"/>
    <col min="4" max="4" width="10.42578125" style="1" bestFit="1" customWidth="1"/>
    <col min="5" max="5" width="9" style="1" hidden="1" customWidth="1"/>
    <col min="6" max="6" width="10" style="1" hidden="1" customWidth="1"/>
    <col min="7" max="7" width="9" style="1" hidden="1" customWidth="1"/>
    <col min="8" max="8" width="7.42578125" style="1" bestFit="1" customWidth="1"/>
    <col min="9" max="9" width="10" style="1" bestFit="1" customWidth="1"/>
    <col min="10" max="10" width="14.28515625" style="1" bestFit="1" customWidth="1"/>
    <col min="11" max="11" width="13.85546875" style="1" customWidth="1"/>
    <col min="12" max="12" width="9" style="1" bestFit="1" customWidth="1"/>
    <col min="13" max="13" width="12.5703125" style="1" bestFit="1" customWidth="1"/>
    <col min="14" max="16" width="14.28515625" style="1" bestFit="1" customWidth="1"/>
    <col min="17" max="16384" width="9.140625" style="1"/>
  </cols>
  <sheetData>
    <row r="3" spans="1:16" x14ac:dyDescent="0.25">
      <c r="A3" s="82"/>
      <c r="B3" s="83"/>
      <c r="C3" s="83"/>
      <c r="D3" s="89"/>
      <c r="E3" s="89"/>
      <c r="F3" s="89"/>
      <c r="G3" s="89"/>
      <c r="H3" s="89"/>
      <c r="I3" s="89"/>
      <c r="J3" s="90" t="s">
        <v>97</v>
      </c>
      <c r="K3" s="89"/>
      <c r="L3" s="89"/>
      <c r="M3" s="90" t="s">
        <v>98</v>
      </c>
      <c r="N3" s="89"/>
      <c r="O3" s="89"/>
      <c r="P3" s="89"/>
    </row>
    <row r="4" spans="1:16" s="88" customFormat="1" ht="30" x14ac:dyDescent="0.25">
      <c r="A4" s="86"/>
      <c r="B4" s="87" t="s">
        <v>94</v>
      </c>
      <c r="C4" s="87" t="s">
        <v>93</v>
      </c>
      <c r="D4" s="91" t="s">
        <v>92</v>
      </c>
      <c r="E4" s="91" t="s">
        <v>85</v>
      </c>
      <c r="F4" s="91" t="s">
        <v>86</v>
      </c>
      <c r="G4" s="91" t="s">
        <v>95</v>
      </c>
      <c r="H4" s="91" t="s">
        <v>71</v>
      </c>
      <c r="I4" s="91" t="s">
        <v>72</v>
      </c>
      <c r="J4" s="91" t="s">
        <v>1</v>
      </c>
      <c r="K4" s="91" t="s">
        <v>87</v>
      </c>
      <c r="L4" s="91" t="s">
        <v>72</v>
      </c>
      <c r="M4" s="91" t="s">
        <v>1</v>
      </c>
      <c r="N4" s="91" t="s">
        <v>103</v>
      </c>
      <c r="O4" s="91" t="s">
        <v>104</v>
      </c>
      <c r="P4" s="91" t="s">
        <v>105</v>
      </c>
    </row>
    <row r="5" spans="1:16" x14ac:dyDescent="0.25">
      <c r="A5" s="82"/>
      <c r="B5" s="83" t="s">
        <v>84</v>
      </c>
      <c r="C5" s="83">
        <v>11200000</v>
      </c>
      <c r="D5" s="89">
        <v>1201</v>
      </c>
      <c r="E5" s="89">
        <v>276</v>
      </c>
      <c r="F5" s="89">
        <v>69</v>
      </c>
      <c r="G5" s="89">
        <f>E5+F5</f>
        <v>345</v>
      </c>
      <c r="H5" s="89">
        <f>G5*1.2</f>
        <v>414</v>
      </c>
      <c r="I5" s="89">
        <v>22500</v>
      </c>
      <c r="J5" s="89">
        <f>H5*I5</f>
        <v>9315000</v>
      </c>
      <c r="K5" s="90">
        <v>459</v>
      </c>
      <c r="L5" s="89">
        <f>I5*0.4</f>
        <v>9000</v>
      </c>
      <c r="M5" s="89">
        <f>K5*L5</f>
        <v>4131000</v>
      </c>
      <c r="N5" s="90">
        <f>J5+M5</f>
        <v>13446000</v>
      </c>
      <c r="O5" s="90">
        <f>N5*0.9</f>
        <v>12101400</v>
      </c>
      <c r="P5" s="90">
        <f>N5*0.8</f>
        <v>10756800</v>
      </c>
    </row>
    <row r="6" spans="1:16" x14ac:dyDescent="0.25">
      <c r="A6" s="82">
        <f>C6/G6</f>
        <v>23188.405797101448</v>
      </c>
      <c r="B6" s="83" t="s">
        <v>84</v>
      </c>
      <c r="C6" s="83">
        <v>8000000</v>
      </c>
      <c r="D6" s="89">
        <v>1202</v>
      </c>
      <c r="E6" s="89">
        <v>276</v>
      </c>
      <c r="F6" s="89">
        <v>69</v>
      </c>
      <c r="G6" s="89">
        <f t="shared" ref="G6:G8" si="0">E6+F6</f>
        <v>345</v>
      </c>
      <c r="H6" s="89">
        <f t="shared" ref="H6:H8" si="1">G6*1.2</f>
        <v>414</v>
      </c>
      <c r="I6" s="89">
        <v>22500</v>
      </c>
      <c r="J6" s="89">
        <f t="shared" ref="J6:J8" si="2">H6*I6</f>
        <v>9315000</v>
      </c>
      <c r="K6" s="90"/>
      <c r="L6" s="89"/>
      <c r="M6" s="89"/>
      <c r="N6" s="90">
        <f>J6+M6</f>
        <v>9315000</v>
      </c>
      <c r="O6" s="90">
        <f t="shared" ref="O6:O8" si="3">N6*0.9</f>
        <v>8383500</v>
      </c>
      <c r="P6" s="90">
        <f t="shared" ref="P6:P8" si="4">N6*0.8</f>
        <v>7452000</v>
      </c>
    </row>
    <row r="7" spans="1:16" x14ac:dyDescent="0.25">
      <c r="B7" s="83" t="s">
        <v>84</v>
      </c>
      <c r="C7" s="83">
        <v>8000000</v>
      </c>
      <c r="D7" s="89">
        <v>1203</v>
      </c>
      <c r="E7" s="89">
        <v>276</v>
      </c>
      <c r="F7" s="89">
        <v>69</v>
      </c>
      <c r="G7" s="89">
        <f t="shared" si="0"/>
        <v>345</v>
      </c>
      <c r="H7" s="89">
        <f t="shared" si="1"/>
        <v>414</v>
      </c>
      <c r="I7" s="89">
        <v>22500</v>
      </c>
      <c r="J7" s="89">
        <f t="shared" si="2"/>
        <v>9315000</v>
      </c>
      <c r="K7" s="92"/>
      <c r="L7" s="93"/>
      <c r="M7" s="93"/>
      <c r="N7" s="90">
        <f>J7+M7</f>
        <v>9315000</v>
      </c>
      <c r="O7" s="90">
        <f t="shared" si="3"/>
        <v>8383500</v>
      </c>
      <c r="P7" s="90">
        <f t="shared" si="4"/>
        <v>7452000</v>
      </c>
    </row>
    <row r="8" spans="1:16" x14ac:dyDescent="0.25">
      <c r="B8" s="83" t="s">
        <v>84</v>
      </c>
      <c r="C8" s="83">
        <v>11200000</v>
      </c>
      <c r="D8" s="89">
        <v>1204</v>
      </c>
      <c r="E8" s="89">
        <v>276</v>
      </c>
      <c r="F8" s="89">
        <v>69</v>
      </c>
      <c r="G8" s="89">
        <f t="shared" si="0"/>
        <v>345</v>
      </c>
      <c r="H8" s="89">
        <f t="shared" si="1"/>
        <v>414</v>
      </c>
      <c r="I8" s="89">
        <v>22500</v>
      </c>
      <c r="J8" s="89">
        <f t="shared" si="2"/>
        <v>9315000</v>
      </c>
      <c r="K8" s="90">
        <v>459</v>
      </c>
      <c r="L8" s="89">
        <f>L5</f>
        <v>9000</v>
      </c>
      <c r="M8" s="89">
        <f>K8*L8</f>
        <v>4131000</v>
      </c>
      <c r="N8" s="90">
        <f>J8+M8</f>
        <v>13446000</v>
      </c>
      <c r="O8" s="90">
        <f t="shared" si="3"/>
        <v>12101400</v>
      </c>
      <c r="P8" s="90">
        <f t="shared" si="4"/>
        <v>10756800</v>
      </c>
    </row>
    <row r="9" spans="1:16" x14ac:dyDescent="0.25">
      <c r="B9" s="67"/>
      <c r="C9" s="84">
        <f>SUM(C5:C8)</f>
        <v>38400000</v>
      </c>
      <c r="D9" s="93"/>
      <c r="E9" s="94">
        <f>SUM(E5:E8)</f>
        <v>1104</v>
      </c>
      <c r="F9" s="94">
        <f>SUM(F5:F8)</f>
        <v>276</v>
      </c>
      <c r="G9" s="94">
        <f>SUM(G5:G8)</f>
        <v>1380</v>
      </c>
      <c r="H9" s="94"/>
      <c r="I9" s="94"/>
      <c r="J9" s="95">
        <f>SUM(J5:J8)</f>
        <v>37260000</v>
      </c>
      <c r="K9" s="94"/>
      <c r="L9" s="94"/>
      <c r="M9" s="95">
        <f>SUM(M5:M8)</f>
        <v>8262000</v>
      </c>
      <c r="N9" s="90">
        <f>J9+M9</f>
        <v>45522000</v>
      </c>
      <c r="O9" s="90">
        <f>SUM(O5:O8)</f>
        <v>40969800</v>
      </c>
      <c r="P9" s="90">
        <f>SUM(P5:P8)</f>
        <v>36417600</v>
      </c>
    </row>
    <row r="10" spans="1:16" x14ac:dyDescent="0.25">
      <c r="C10" s="82">
        <f>7.65/3.84</f>
        <v>1.9921875000000002</v>
      </c>
    </row>
    <row r="11" spans="1:16" x14ac:dyDescent="0.25">
      <c r="F11" s="1" t="s">
        <v>101</v>
      </c>
      <c r="G11" s="85">
        <f>E9+F9+K9</f>
        <v>1380</v>
      </c>
      <c r="H11" s="85"/>
    </row>
    <row r="12" spans="1:16" x14ac:dyDescent="0.25">
      <c r="F12" s="1" t="s">
        <v>102</v>
      </c>
      <c r="G12" s="85" t="e">
        <f>#REF!</f>
        <v>#REF!</v>
      </c>
      <c r="H12" s="8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8"/>
  <sheetViews>
    <sheetView workbookViewId="0">
      <selection activeCell="N48" sqref="N4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20.85546875" bestFit="1" customWidth="1"/>
    <col min="9" max="10" width="14.28515625" bestFit="1" customWidth="1"/>
    <col min="11" max="13" width="0" hidden="1" customWidth="1"/>
    <col min="14" max="14" width="20.85546875" bestFit="1" customWidth="1"/>
    <col min="15" max="15" width="10" bestFit="1" customWidth="1"/>
    <col min="16" max="17" width="14.28515625" bestFit="1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537.5</v>
      </c>
      <c r="C2" s="4">
        <f t="shared" ref="C2:C16" si="1">B2*1.2</f>
        <v>645</v>
      </c>
      <c r="D2" s="4">
        <f t="shared" ref="D2:D16" si="2">C2*1.2</f>
        <v>774</v>
      </c>
      <c r="E2" s="5">
        <f t="shared" ref="E2:E16" si="3">R2</f>
        <v>10800000</v>
      </c>
      <c r="F2" s="4">
        <f t="shared" ref="F2:F15" si="4">ROUND((E2/B2),0)</f>
        <v>20093</v>
      </c>
      <c r="G2" s="4">
        <f t="shared" ref="G2:G15" si="5">ROUND((E2/C2),0)</f>
        <v>16744</v>
      </c>
      <c r="H2" s="4">
        <f t="shared" ref="H2:H15" si="6">ROUND((E2/D2),0)</f>
        <v>13953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645</v>
      </c>
      <c r="Q2">
        <f t="shared" ref="Q2:Q10" si="9">P2/1.2</f>
        <v>537.5</v>
      </c>
      <c r="R2" s="2">
        <v>10800000</v>
      </c>
      <c r="S2" s="2"/>
    </row>
    <row r="3" spans="1:19" x14ac:dyDescent="0.25">
      <c r="A3" s="4">
        <v>2</v>
      </c>
      <c r="B3" s="4">
        <f t="shared" si="0"/>
        <v>350</v>
      </c>
      <c r="C3" s="4">
        <f t="shared" si="1"/>
        <v>420</v>
      </c>
      <c r="D3" s="4">
        <f t="shared" si="2"/>
        <v>504</v>
      </c>
      <c r="E3" s="5">
        <f t="shared" si="3"/>
        <v>16000000</v>
      </c>
      <c r="F3" s="4">
        <f t="shared" si="4"/>
        <v>45714</v>
      </c>
      <c r="G3" s="4">
        <f t="shared" si="5"/>
        <v>38095</v>
      </c>
      <c r="H3" s="4">
        <f t="shared" si="6"/>
        <v>31746</v>
      </c>
      <c r="I3" s="4">
        <f t="shared" si="7"/>
        <v>0</v>
      </c>
      <c r="J3" s="4">
        <f t="shared" si="8"/>
        <v>0</v>
      </c>
      <c r="O3">
        <v>0</v>
      </c>
      <c r="P3">
        <f t="shared" ref="P3:P10" si="10">O3/1.2</f>
        <v>0</v>
      </c>
      <c r="Q3">
        <v>350</v>
      </c>
      <c r="R3" s="2">
        <v>16000000</v>
      </c>
      <c r="S3" s="2"/>
    </row>
    <row r="4" spans="1:19" x14ac:dyDescent="0.25">
      <c r="A4" s="4">
        <v>3</v>
      </c>
      <c r="B4" s="4">
        <f t="shared" si="0"/>
        <v>520</v>
      </c>
      <c r="C4" s="4">
        <f t="shared" si="1"/>
        <v>624</v>
      </c>
      <c r="D4" s="4">
        <f t="shared" si="2"/>
        <v>748.8</v>
      </c>
      <c r="E4" s="5">
        <f t="shared" si="3"/>
        <v>15000000</v>
      </c>
      <c r="F4" s="4">
        <f t="shared" si="4"/>
        <v>28846</v>
      </c>
      <c r="G4" s="80">
        <f t="shared" si="5"/>
        <v>24038</v>
      </c>
      <c r="H4" s="80">
        <f t="shared" si="6"/>
        <v>20032</v>
      </c>
      <c r="I4" s="80">
        <f t="shared" si="7"/>
        <v>0</v>
      </c>
      <c r="J4" s="80">
        <f t="shared" si="8"/>
        <v>0</v>
      </c>
      <c r="K4" s="7"/>
      <c r="L4" s="7"/>
      <c r="M4" s="7"/>
      <c r="N4" s="7"/>
      <c r="O4" s="7">
        <v>0</v>
      </c>
      <c r="P4" s="7">
        <f t="shared" si="10"/>
        <v>0</v>
      </c>
      <c r="Q4" s="7">
        <v>520</v>
      </c>
      <c r="R4" s="81">
        <v>15000000</v>
      </c>
      <c r="S4" s="2"/>
    </row>
    <row r="5" spans="1:19" x14ac:dyDescent="0.25">
      <c r="A5" s="4">
        <v>4</v>
      </c>
      <c r="B5" s="4">
        <f t="shared" si="0"/>
        <v>450</v>
      </c>
      <c r="C5" s="4">
        <f t="shared" si="1"/>
        <v>540</v>
      </c>
      <c r="D5" s="4">
        <f t="shared" si="2"/>
        <v>648</v>
      </c>
      <c r="E5" s="5">
        <f t="shared" si="3"/>
        <v>12800000</v>
      </c>
      <c r="F5" s="4">
        <f t="shared" si="4"/>
        <v>28444</v>
      </c>
      <c r="G5" s="80">
        <f t="shared" si="5"/>
        <v>23704</v>
      </c>
      <c r="H5" s="80">
        <f t="shared" si="6"/>
        <v>19753</v>
      </c>
      <c r="I5" s="80">
        <f t="shared" si="7"/>
        <v>0</v>
      </c>
      <c r="J5" s="80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v>450</v>
      </c>
      <c r="R5" s="81">
        <v>12800000</v>
      </c>
      <c r="S5" s="2"/>
    </row>
    <row r="6" spans="1:19" x14ac:dyDescent="0.25">
      <c r="A6" s="4">
        <v>5</v>
      </c>
      <c r="B6" s="4">
        <f t="shared" si="0"/>
        <v>691.66666666666674</v>
      </c>
      <c r="C6" s="4">
        <f t="shared" si="1"/>
        <v>830.00000000000011</v>
      </c>
      <c r="D6" s="4">
        <f t="shared" si="2"/>
        <v>996.00000000000011</v>
      </c>
      <c r="E6" s="5">
        <f t="shared" si="3"/>
        <v>10000000</v>
      </c>
      <c r="F6" s="4">
        <f t="shared" si="4"/>
        <v>14458</v>
      </c>
      <c r="G6" s="4">
        <f t="shared" si="5"/>
        <v>12048</v>
      </c>
      <c r="H6" s="4">
        <f t="shared" si="6"/>
        <v>10040</v>
      </c>
      <c r="I6" s="4">
        <f t="shared" si="7"/>
        <v>0</v>
      </c>
      <c r="J6" s="4">
        <f t="shared" si="8"/>
        <v>0</v>
      </c>
      <c r="O6">
        <v>0</v>
      </c>
      <c r="P6">
        <v>830</v>
      </c>
      <c r="Q6">
        <f t="shared" si="9"/>
        <v>691.66666666666674</v>
      </c>
      <c r="R6" s="2">
        <v>10000000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74" t="s">
        <v>88</v>
      </c>
    </row>
    <row r="24" spans="1:19" s="10" customFormat="1" x14ac:dyDescent="0.25">
      <c r="F24" s="73" t="s">
        <v>91</v>
      </c>
    </row>
    <row r="25" spans="1:19" s="10" customFormat="1" x14ac:dyDescent="0.25">
      <c r="E25" s="74" t="s">
        <v>100</v>
      </c>
      <c r="F25" s="73" t="s">
        <v>99</v>
      </c>
      <c r="G25" s="74">
        <f>G28*2</f>
        <v>6378</v>
      </c>
      <c r="H25" s="74">
        <v>12000</v>
      </c>
      <c r="I25" s="74">
        <f>G25*H25</f>
        <v>76536000</v>
      </c>
    </row>
    <row r="26" spans="1:19" s="10" customFormat="1" x14ac:dyDescent="0.25">
      <c r="F26" s="73"/>
    </row>
    <row r="27" spans="1:19" s="10" customFormat="1" x14ac:dyDescent="0.25">
      <c r="F27" s="74"/>
    </row>
    <row r="28" spans="1:19" s="10" customFormat="1" x14ac:dyDescent="0.25">
      <c r="F28" s="57" t="s">
        <v>89</v>
      </c>
      <c r="G28" s="57">
        <v>3189</v>
      </c>
    </row>
    <row r="29" spans="1:19" s="10" customFormat="1" x14ac:dyDescent="0.25">
      <c r="F29" s="57" t="s">
        <v>86</v>
      </c>
      <c r="G29" s="57">
        <v>237</v>
      </c>
    </row>
    <row r="30" spans="1:19" s="10" customFormat="1" x14ac:dyDescent="0.25">
      <c r="C30" s="72" t="s">
        <v>74</v>
      </c>
      <c r="D30" s="72" t="s">
        <v>84</v>
      </c>
      <c r="F30" s="57" t="s">
        <v>90</v>
      </c>
      <c r="G30" s="57">
        <f>SUM(G28:G29)</f>
        <v>3426</v>
      </c>
    </row>
    <row r="31" spans="1:19" s="10" customFormat="1" x14ac:dyDescent="0.25">
      <c r="C31" s="72" t="s">
        <v>1</v>
      </c>
      <c r="D31" s="72">
        <v>11200000</v>
      </c>
      <c r="F31" s="57" t="s">
        <v>71</v>
      </c>
      <c r="G31" s="57"/>
      <c r="H31" s="10">
        <f>G31/G30</f>
        <v>0</v>
      </c>
    </row>
    <row r="32" spans="1:19" s="10" customFormat="1" x14ac:dyDescent="0.25">
      <c r="F32" s="57" t="s">
        <v>72</v>
      </c>
      <c r="G32" s="57"/>
    </row>
    <row r="33" spans="2:18" s="10" customFormat="1" x14ac:dyDescent="0.25">
      <c r="C33" s="75"/>
      <c r="D33" s="75"/>
      <c r="F33" s="75" t="s">
        <v>73</v>
      </c>
      <c r="G33" s="75">
        <f>G31*G32</f>
        <v>0</v>
      </c>
      <c r="H33" s="10">
        <f>G33/D31</f>
        <v>0</v>
      </c>
    </row>
    <row r="34" spans="2:18" s="10" customFormat="1" x14ac:dyDescent="0.25">
      <c r="C34" s="75"/>
      <c r="D34" s="75"/>
      <c r="F34" s="75" t="s">
        <v>24</v>
      </c>
      <c r="G34" s="75">
        <f>G33*90%</f>
        <v>0</v>
      </c>
    </row>
    <row r="35" spans="2:18" s="10" customFormat="1" x14ac:dyDescent="0.25">
      <c r="C35" s="75"/>
      <c r="D35" s="75"/>
      <c r="F35" s="75" t="s">
        <v>25</v>
      </c>
      <c r="G35" s="75">
        <f>G33*80%</f>
        <v>0</v>
      </c>
    </row>
    <row r="36" spans="2:18" s="10" customFormat="1" x14ac:dyDescent="0.25">
      <c r="C36" s="75"/>
      <c r="D36" s="75"/>
    </row>
    <row r="37" spans="2:18" s="10" customFormat="1" x14ac:dyDescent="0.25">
      <c r="C37" s="75"/>
      <c r="D37" s="75"/>
    </row>
    <row r="38" spans="2:18" s="10" customFormat="1" x14ac:dyDescent="0.25"/>
    <row r="39" spans="2:18" s="10" customFormat="1" x14ac:dyDescent="0.25">
      <c r="J39" s="10" t="s">
        <v>97</v>
      </c>
      <c r="P39" s="10" t="s">
        <v>98</v>
      </c>
    </row>
    <row r="40" spans="2:18" s="10" customFormat="1" x14ac:dyDescent="0.25">
      <c r="C40" s="10" t="s">
        <v>94</v>
      </c>
      <c r="D40" s="10" t="s">
        <v>93</v>
      </c>
      <c r="E40" s="10" t="s">
        <v>92</v>
      </c>
      <c r="F40" s="10" t="s">
        <v>85</v>
      </c>
      <c r="G40" s="10" t="s">
        <v>86</v>
      </c>
      <c r="H40" s="10" t="s">
        <v>95</v>
      </c>
      <c r="I40" s="10" t="s">
        <v>72</v>
      </c>
      <c r="J40" s="10" t="s">
        <v>1</v>
      </c>
      <c r="N40" s="10" t="s">
        <v>87</v>
      </c>
      <c r="O40" s="10" t="s">
        <v>72</v>
      </c>
      <c r="P40" s="10" t="s">
        <v>1</v>
      </c>
      <c r="Q40" s="10" t="s">
        <v>96</v>
      </c>
    </row>
    <row r="41" spans="2:18" s="10" customFormat="1" x14ac:dyDescent="0.25">
      <c r="C41" s="10" t="s">
        <v>84</v>
      </c>
      <c r="D41" s="10">
        <v>11200000</v>
      </c>
      <c r="E41" s="10">
        <v>1201</v>
      </c>
      <c r="F41" s="10">
        <v>276</v>
      </c>
      <c r="G41" s="10">
        <v>69</v>
      </c>
      <c r="H41" s="10">
        <f>F41+G41</f>
        <v>345</v>
      </c>
      <c r="I41" s="10">
        <v>27000</v>
      </c>
      <c r="J41" s="10">
        <f>H41*I41</f>
        <v>9315000</v>
      </c>
      <c r="N41" s="74">
        <v>459</v>
      </c>
      <c r="O41" s="10">
        <f>I41*0.5</f>
        <v>13500</v>
      </c>
      <c r="P41" s="10">
        <f>N41*O41</f>
        <v>6196500</v>
      </c>
      <c r="Q41" s="10">
        <f>J41+P41</f>
        <v>15511500</v>
      </c>
    </row>
    <row r="42" spans="2:18" s="10" customFormat="1" x14ac:dyDescent="0.25">
      <c r="B42" s="10">
        <f>D42/H42</f>
        <v>23188.405797101448</v>
      </c>
      <c r="C42" s="10" t="s">
        <v>84</v>
      </c>
      <c r="D42" s="10">
        <v>8000000</v>
      </c>
      <c r="E42" s="10">
        <v>1202</v>
      </c>
      <c r="F42" s="10">
        <v>276</v>
      </c>
      <c r="G42" s="10">
        <v>69</v>
      </c>
      <c r="H42" s="10">
        <f t="shared" ref="H42:H44" si="48">F42+G42</f>
        <v>345</v>
      </c>
      <c r="I42" s="10">
        <v>27000</v>
      </c>
      <c r="J42" s="10">
        <f t="shared" ref="J42:J44" si="49">H42*I42</f>
        <v>9315000</v>
      </c>
      <c r="N42" s="74"/>
      <c r="Q42" s="10">
        <f t="shared" ref="Q42:Q45" si="50">J42+P42</f>
        <v>9315000</v>
      </c>
    </row>
    <row r="43" spans="2:18" x14ac:dyDescent="0.25">
      <c r="C43" s="10" t="s">
        <v>84</v>
      </c>
      <c r="D43" s="10">
        <v>8000000</v>
      </c>
      <c r="E43" s="10">
        <v>1203</v>
      </c>
      <c r="F43" s="10">
        <v>276</v>
      </c>
      <c r="G43" s="10">
        <v>69</v>
      </c>
      <c r="H43" s="10">
        <f t="shared" si="48"/>
        <v>345</v>
      </c>
      <c r="I43" s="10">
        <v>27000</v>
      </c>
      <c r="J43" s="10">
        <f t="shared" si="49"/>
        <v>9315000</v>
      </c>
      <c r="N43" s="6"/>
      <c r="Q43" s="10">
        <f t="shared" si="50"/>
        <v>9315000</v>
      </c>
    </row>
    <row r="44" spans="2:18" x14ac:dyDescent="0.25">
      <c r="C44" s="10" t="s">
        <v>84</v>
      </c>
      <c r="D44" s="10">
        <v>11200000</v>
      </c>
      <c r="E44" s="10">
        <v>1204</v>
      </c>
      <c r="F44" s="10">
        <v>276</v>
      </c>
      <c r="G44" s="10">
        <v>69</v>
      </c>
      <c r="H44" s="10">
        <f t="shared" si="48"/>
        <v>345</v>
      </c>
      <c r="I44" s="10">
        <v>27000</v>
      </c>
      <c r="J44" s="10">
        <f t="shared" si="49"/>
        <v>9315000</v>
      </c>
      <c r="N44" s="74">
        <v>459</v>
      </c>
      <c r="O44" s="10">
        <f>I44*0.5</f>
        <v>13500</v>
      </c>
      <c r="P44" s="10">
        <f>N44*O44</f>
        <v>6196500</v>
      </c>
      <c r="Q44" s="10">
        <f t="shared" si="50"/>
        <v>15511500</v>
      </c>
    </row>
    <row r="45" spans="2:18" x14ac:dyDescent="0.25">
      <c r="D45" s="78">
        <f>SUM(D41:D44)</f>
        <v>38400000</v>
      </c>
      <c r="F45" s="70">
        <f>SUM(F41:F44)</f>
        <v>1104</v>
      </c>
      <c r="G45" s="70">
        <f>SUM(G41:G44)</f>
        <v>276</v>
      </c>
      <c r="H45" s="70">
        <f>SUM(H41:H44)</f>
        <v>1380</v>
      </c>
      <c r="I45" s="70"/>
      <c r="J45" s="70">
        <f>SUM(J41:J44)</f>
        <v>37260000</v>
      </c>
      <c r="N45" s="70">
        <f>SUM(N41:N44)</f>
        <v>918</v>
      </c>
      <c r="O45" s="70"/>
      <c r="P45" s="70">
        <f>SUM(P41:P44)</f>
        <v>12393000</v>
      </c>
      <c r="Q45" s="77">
        <f t="shared" si="50"/>
        <v>49653000</v>
      </c>
      <c r="R45" s="7">
        <f>Q45/D45</f>
        <v>1.2930468749999999</v>
      </c>
    </row>
    <row r="46" spans="2:18" x14ac:dyDescent="0.25">
      <c r="D46" s="10">
        <f>7.65/3.84</f>
        <v>1.9921875000000002</v>
      </c>
    </row>
    <row r="47" spans="2:18" x14ac:dyDescent="0.25">
      <c r="G47" t="s">
        <v>101</v>
      </c>
      <c r="H47" s="70">
        <f>F45+G45+N45</f>
        <v>2298</v>
      </c>
    </row>
    <row r="48" spans="2:18" x14ac:dyDescent="0.25">
      <c r="G48" t="s">
        <v>102</v>
      </c>
      <c r="H48" s="70">
        <f>G30</f>
        <v>3426</v>
      </c>
      <c r="N48">
        <f>450*0.4</f>
        <v>180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7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23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Depreciation</vt:lpstr>
      <vt:lpstr>Site Measurement</vt:lpstr>
      <vt:lpstr>Calculation</vt:lpstr>
      <vt:lpstr>Summary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2024-01-09T05:30:36Z</dcterms:modified>
</cp:coreProperties>
</file>