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2"/>
  </bookViews>
  <sheets>
    <sheet name="Raheja" sheetId="1" r:id="rId1"/>
    <sheet name="Khar West" sheetId="5" r:id="rId2"/>
    <sheet name="Final Calculation" sheetId="6" r:id="rId3"/>
  </sheets>
  <calcPr calcId="162913"/>
</workbook>
</file>

<file path=xl/calcChain.xml><?xml version="1.0" encoding="utf-8"?>
<calcChain xmlns="http://schemas.openxmlformats.org/spreadsheetml/2006/main">
  <c r="N14" i="6" l="1"/>
  <c r="N17" i="6" s="1"/>
  <c r="D12" i="6"/>
  <c r="C12" i="6"/>
  <c r="B12" i="6"/>
  <c r="E10" i="6"/>
  <c r="D10" i="6"/>
  <c r="C10" i="6"/>
  <c r="B10" i="6"/>
  <c r="S9" i="6"/>
  <c r="D8" i="6"/>
  <c r="C8" i="6"/>
  <c r="B8" i="6"/>
  <c r="E7" i="6"/>
  <c r="N6" i="6"/>
  <c r="N10" i="6" s="1"/>
  <c r="L6" i="6"/>
  <c r="L14" i="6" s="1"/>
  <c r="J6" i="6"/>
  <c r="P6" i="6" s="1"/>
  <c r="D5" i="6"/>
  <c r="C5" i="6"/>
  <c r="B5" i="6"/>
  <c r="E4" i="6"/>
  <c r="S3" i="6"/>
  <c r="T43" i="5"/>
  <c r="T36" i="5"/>
  <c r="T35" i="5"/>
  <c r="T41" i="5"/>
  <c r="R36" i="5"/>
  <c r="R35" i="5"/>
  <c r="R38" i="5"/>
  <c r="K36" i="5"/>
  <c r="L36" i="5"/>
  <c r="J36" i="5"/>
  <c r="P43" i="5"/>
  <c r="P41" i="5"/>
  <c r="P36" i="5"/>
  <c r="P35" i="5"/>
  <c r="Y33" i="5"/>
  <c r="M34" i="5"/>
  <c r="M31" i="5"/>
  <c r="M28" i="5"/>
  <c r="J34" i="5"/>
  <c r="P38" i="5"/>
  <c r="K34" i="5"/>
  <c r="L34" i="5"/>
  <c r="P34" i="5"/>
  <c r="T45" i="5"/>
  <c r="R45" i="5"/>
  <c r="P45" i="5"/>
  <c r="S14" i="5"/>
  <c r="V30" i="5"/>
  <c r="V34" i="5"/>
  <c r="T38" i="5"/>
  <c r="T34" i="5"/>
  <c r="T30" i="5"/>
  <c r="R30" i="5"/>
  <c r="L32" i="5"/>
  <c r="R43" i="5"/>
  <c r="R41" i="5"/>
  <c r="R34" i="5"/>
  <c r="K32" i="5"/>
  <c r="Y27" i="5"/>
  <c r="G24" i="5"/>
  <c r="G23" i="5"/>
  <c r="P30" i="5"/>
  <c r="L29" i="5"/>
  <c r="K29" i="5"/>
  <c r="J32" i="5"/>
  <c r="J29" i="5"/>
  <c r="L17" i="6" l="1"/>
  <c r="L19" i="6"/>
  <c r="N21" i="6"/>
  <c r="N11" i="6"/>
  <c r="N12" i="6"/>
  <c r="J10" i="6"/>
  <c r="L10" i="6"/>
  <c r="J14" i="6"/>
  <c r="N19" i="6"/>
  <c r="B8" i="5"/>
  <c r="E7" i="5"/>
  <c r="T18" i="5"/>
  <c r="U18" i="5" s="1"/>
  <c r="V18" i="5" s="1"/>
  <c r="W18" i="5" s="1"/>
  <c r="T17" i="5"/>
  <c r="U17" i="5" s="1"/>
  <c r="V17" i="5" s="1"/>
  <c r="W17" i="5" s="1"/>
  <c r="U16" i="5"/>
  <c r="U19" i="5" s="1"/>
  <c r="T13" i="5"/>
  <c r="U13" i="5" s="1"/>
  <c r="V13" i="5" s="1"/>
  <c r="W13" i="5" s="1"/>
  <c r="T12" i="5"/>
  <c r="U12" i="5" s="1"/>
  <c r="U11" i="5"/>
  <c r="V11" i="5" s="1"/>
  <c r="W11" i="5" s="1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L21" i="6" l="1"/>
  <c r="L11" i="6"/>
  <c r="L12" i="6"/>
  <c r="J17" i="6"/>
  <c r="J19" i="6"/>
  <c r="J21" i="6"/>
  <c r="J12" i="6"/>
  <c r="J11" i="6"/>
  <c r="P10" i="6"/>
  <c r="V12" i="5"/>
  <c r="W12" i="5" s="1"/>
  <c r="U14" i="5"/>
  <c r="V16" i="5"/>
  <c r="W16" i="5" s="1"/>
  <c r="B13" i="5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<sst xmlns="http://schemas.openxmlformats.org/spreadsheetml/2006/main" count="110" uniqueCount="65">
  <si>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</si>
  <si>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</si>
  <si>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</si>
  <si>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</si>
  <si>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</si>
  <si>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</si>
  <si>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</si>
  <si>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</si>
  <si>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</si>
  <si>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</si>
  <si>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</si>
  <si>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</si>
  <si>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</si>
  <si>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</si>
  <si>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</si>
  <si>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</si>
  <si>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</si>
  <si>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</si>
  <si>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</si>
  <si>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</si>
  <si>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</si>
  <si>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</si>
  <si>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</si>
  <si>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</si>
  <si>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</si>
  <si>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</si>
  <si>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</si>
  <si>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</si>
  <si>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</si>
  <si>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</si>
  <si>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</si>
  <si>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</si>
  <si>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</si>
  <si>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</si>
  <si>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</si>
  <si>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</si>
  <si>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</si>
  <si>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</si>
  <si>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</si>
  <si>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</si>
  <si>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</si>
  <si>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</si>
  <si>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</si>
  <si>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</si>
  <si>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</si>
  <si>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</si>
  <si>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</si>
  <si>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Unit No,</t>
  </si>
  <si>
    <t>ca</t>
  </si>
  <si>
    <t>rate</t>
  </si>
  <si>
    <t>FMV</t>
  </si>
  <si>
    <t>DV</t>
  </si>
  <si>
    <t>total</t>
  </si>
  <si>
    <t>TOTAL</t>
  </si>
  <si>
    <t>BUA</t>
  </si>
  <si>
    <t>RR</t>
  </si>
  <si>
    <t>Oc</t>
  </si>
  <si>
    <t>cc</t>
  </si>
  <si>
    <t>Sch</t>
  </si>
  <si>
    <t>RERA Carpet</t>
  </si>
  <si>
    <t>Balcony</t>
  </si>
  <si>
    <t>Total</t>
  </si>
  <si>
    <t>Insurable</t>
  </si>
  <si>
    <t>BU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</si>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</sst>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0" fontId="7" fillId="0" borderId="0" xfId="0" applyFont="1"/>
    <xf numFmtId="43" fontId="7" fillId="0" borderId="0" xfId="1" applyFont="1"/>
    <xf numFmtId="0" fontId="0" fillId="0" borderId="0" xfId="0" applyAlignment="1">
      <alignment wrapText="1"/>
    </xf>
    <xf numFmtId="0" fontId="7" fillId="0" borderId="1" xfId="0" applyFont="1" applyBorder="1"/>
    <xf numFmtId="43" fontId="0" fillId="0" borderId="1" xfId="1" applyFont="1" applyBorder="1"/>
    <xf numFmtId="0" fontId="0" fillId="0" borderId="1" xfId="0" applyBorder="1" applyAlignment="1">
      <alignment wrapText="1"/>
    </xf>
    <xf numFmtId="43" fontId="7" fillId="0" borderId="1" xfId="1" applyFont="1" applyBorder="1"/>
    <xf numFmtId="43" fontId="7" fillId="0" borderId="1" xfId="0" applyNumberFormat="1" applyFont="1" applyBorder="1"/>
    <xf numFmtId="43" fontId="0" fillId="0" borderId="1" xfId="1" applyFont="1" applyBorder="1" applyAlignment="1">
      <alignment wrapText="1"/>
    </xf>
    <xf numFmtId="43" fontId="7" fillId="4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5"/>
  <sheetViews>
    <sheetView topLeftCell="G22" workbookViewId="0">
      <selection activeCell="I25" sqref="I25:Y47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7" max="7" width="11.5703125" bestFit="1" customWidth="1"/>
    <col min="11" max="11" width="11.5703125" bestFit="1" customWidth="1"/>
    <col min="14" max="14" width="12" customWidth="1"/>
    <col min="16" max="16" width="14.28515625" bestFit="1" customWidth="1"/>
    <col min="18" max="18" width="15.28515625" bestFit="1" customWidth="1"/>
    <col min="20" max="20" width="14.28515625" bestFit="1" customWidth="1"/>
    <col min="21" max="22" width="15.28515625" bestFit="1" customWidth="1"/>
    <col min="23" max="23" width="14.28515625" bestFit="1" customWidth="1"/>
    <col min="25" max="25" width="11.5703125" bestFit="1" customWidth="1"/>
  </cols>
  <sheetData>
    <row r="2" spans="1:23" x14ac:dyDescent="0.25">
      <c r="A2" s="17"/>
      <c r="B2" s="17"/>
    </row>
    <row r="3" spans="1:23" x14ac:dyDescent="0.25">
      <c r="A3" s="17" t="s">
        <v>34</v>
      </c>
      <c r="B3" s="17"/>
    </row>
    <row r="4" spans="1:23" x14ac:dyDescent="0.25">
      <c r="A4" s="17" t="s">
        <v>20</v>
      </c>
      <c r="B4" s="17">
        <v>2023</v>
      </c>
    </row>
    <row r="5" spans="1:23" x14ac:dyDescent="0.25">
      <c r="A5" s="17" t="s">
        <v>21</v>
      </c>
      <c r="B5" s="17">
        <v>2021</v>
      </c>
    </row>
    <row r="6" spans="1:23" x14ac:dyDescent="0.25">
      <c r="A6" s="17" t="s">
        <v>22</v>
      </c>
      <c r="B6" s="17">
        <f>B4-B5</f>
        <v>2</v>
      </c>
      <c r="D6" t="s">
        <v>35</v>
      </c>
      <c r="E6">
        <v>3812</v>
      </c>
    </row>
    <row r="7" spans="1:23" x14ac:dyDescent="0.25">
      <c r="A7" s="17"/>
      <c r="B7" s="17">
        <f>60-B6</f>
        <v>58</v>
      </c>
      <c r="D7" t="s">
        <v>54</v>
      </c>
      <c r="E7">
        <f>E6*1.2</f>
        <v>4574.3999999999996</v>
      </c>
    </row>
    <row r="8" spans="1:23" x14ac:dyDescent="0.25">
      <c r="A8" s="17" t="s">
        <v>23</v>
      </c>
      <c r="B8" s="46">
        <f>4574*2800</f>
        <v>12807200</v>
      </c>
    </row>
    <row r="9" spans="1:23" x14ac:dyDescent="0.25">
      <c r="A9" s="17" t="s">
        <v>24</v>
      </c>
      <c r="B9" s="17"/>
    </row>
    <row r="10" spans="1:23" x14ac:dyDescent="0.25">
      <c r="A10" s="17"/>
      <c r="B10" s="17"/>
      <c r="R10" t="s">
        <v>47</v>
      </c>
      <c r="S10" t="s">
        <v>48</v>
      </c>
      <c r="T10" t="s">
        <v>49</v>
      </c>
      <c r="U10" s="13" t="s">
        <v>50</v>
      </c>
      <c r="V10" s="13" t="s">
        <v>12</v>
      </c>
      <c r="W10" s="13" t="s">
        <v>51</v>
      </c>
    </row>
    <row r="11" spans="1:23" x14ac:dyDescent="0.25">
      <c r="A11" s="17" t="s">
        <v>25</v>
      </c>
      <c r="B11" s="17">
        <f>100-10</f>
        <v>90</v>
      </c>
      <c r="Q11">
        <v>2023</v>
      </c>
      <c r="R11">
        <v>401</v>
      </c>
      <c r="S11">
        <v>3812</v>
      </c>
      <c r="T11">
        <v>16000</v>
      </c>
      <c r="U11" s="1">
        <f>T11*S11</f>
        <v>60992000</v>
      </c>
      <c r="V11" s="1">
        <f>U11*90%</f>
        <v>54892800</v>
      </c>
      <c r="W11" s="1">
        <f>V11*80%</f>
        <v>43914240</v>
      </c>
    </row>
    <row r="12" spans="1:23" x14ac:dyDescent="0.25">
      <c r="A12" s="17" t="s">
        <v>26</v>
      </c>
      <c r="B12" s="17">
        <v>0</v>
      </c>
      <c r="R12">
        <v>402</v>
      </c>
      <c r="S12">
        <v>6692</v>
      </c>
      <c r="T12">
        <f>T11</f>
        <v>16000</v>
      </c>
      <c r="U12" s="1">
        <f t="shared" ref="U12:U13" si="0">T12*S12</f>
        <v>107072000</v>
      </c>
      <c r="V12" s="1">
        <f t="shared" ref="V12:V13" si="1">U12*90%</f>
        <v>96364800</v>
      </c>
      <c r="W12" s="1">
        <f t="shared" ref="W12:W13" si="2">V12*80%</f>
        <v>77091840</v>
      </c>
    </row>
    <row r="13" spans="1:23" x14ac:dyDescent="0.25">
      <c r="A13" s="17"/>
      <c r="B13" s="47">
        <f>B12%</f>
        <v>0</v>
      </c>
      <c r="R13">
        <v>403</v>
      </c>
      <c r="S13">
        <v>3820</v>
      </c>
      <c r="T13">
        <f>T11</f>
        <v>16000</v>
      </c>
      <c r="U13" s="1">
        <f t="shared" si="0"/>
        <v>61120000</v>
      </c>
      <c r="V13" s="1">
        <f t="shared" si="1"/>
        <v>55008000</v>
      </c>
      <c r="W13" s="1">
        <f t="shared" si="2"/>
        <v>44006400</v>
      </c>
    </row>
    <row r="14" spans="1:23" x14ac:dyDescent="0.25">
      <c r="A14" s="17"/>
      <c r="B14" s="17"/>
      <c r="R14" s="49"/>
      <c r="S14" s="49">
        <f>SUM(S11:S13)</f>
        <v>14324</v>
      </c>
      <c r="T14" s="49" t="s">
        <v>52</v>
      </c>
      <c r="U14" s="50">
        <f>SUM(U11:U13)</f>
        <v>229184000</v>
      </c>
    </row>
    <row r="15" spans="1:23" x14ac:dyDescent="0.25">
      <c r="A15" s="17" t="s">
        <v>27</v>
      </c>
      <c r="B15" s="46">
        <f>ROUND((B8*B13),0)</f>
        <v>0</v>
      </c>
    </row>
    <row r="16" spans="1:23" x14ac:dyDescent="0.25">
      <c r="A16" s="17" t="s">
        <v>15</v>
      </c>
      <c r="B16" s="46">
        <v>3812</v>
      </c>
      <c r="Q16">
        <v>2021</v>
      </c>
      <c r="R16">
        <v>401</v>
      </c>
      <c r="S16">
        <v>3812</v>
      </c>
      <c r="T16">
        <v>13000</v>
      </c>
      <c r="U16" s="1">
        <f>T16*S16</f>
        <v>49556000</v>
      </c>
      <c r="V16" s="1">
        <f>U16*90%</f>
        <v>44600400</v>
      </c>
      <c r="W16" s="1">
        <f>V16*80%</f>
        <v>35680320</v>
      </c>
    </row>
    <row r="17" spans="1:25" x14ac:dyDescent="0.25">
      <c r="A17" s="17" t="s">
        <v>42</v>
      </c>
      <c r="B17" s="17">
        <v>16000</v>
      </c>
      <c r="R17">
        <v>402</v>
      </c>
      <c r="S17">
        <v>6692</v>
      </c>
      <c r="T17">
        <f>T16</f>
        <v>13000</v>
      </c>
      <c r="U17" s="1">
        <f t="shared" ref="U17:U18" si="3">T17*S17</f>
        <v>86996000</v>
      </c>
      <c r="V17" s="1">
        <f t="shared" ref="V17:V18" si="4">U17*90%</f>
        <v>78296400</v>
      </c>
      <c r="W17" s="1">
        <f t="shared" ref="W17:W18" si="5">V17*80%</f>
        <v>62637120</v>
      </c>
    </row>
    <row r="18" spans="1:25" x14ac:dyDescent="0.25">
      <c r="A18" s="17" t="s">
        <v>28</v>
      </c>
      <c r="B18" s="46">
        <f>B17*B16</f>
        <v>60992000</v>
      </c>
      <c r="R18">
        <v>403</v>
      </c>
      <c r="S18">
        <v>3820</v>
      </c>
      <c r="T18">
        <f>T16</f>
        <v>13000</v>
      </c>
      <c r="U18" s="1">
        <f t="shared" si="3"/>
        <v>49660000</v>
      </c>
      <c r="V18" s="1">
        <f t="shared" si="4"/>
        <v>44694000</v>
      </c>
      <c r="W18" s="1">
        <f t="shared" si="5"/>
        <v>35755200</v>
      </c>
    </row>
    <row r="19" spans="1:25" x14ac:dyDescent="0.25">
      <c r="A19" s="17" t="s">
        <v>29</v>
      </c>
      <c r="B19" s="17"/>
      <c r="T19" s="49" t="s">
        <v>53</v>
      </c>
      <c r="U19" s="50">
        <f>SUM(U16:U18)</f>
        <v>186212000</v>
      </c>
    </row>
    <row r="20" spans="1:25" x14ac:dyDescent="0.25">
      <c r="A20" s="43" t="s">
        <v>30</v>
      </c>
      <c r="B20" s="48">
        <f>B18-B15</f>
        <v>60992000</v>
      </c>
      <c r="C20" s="5"/>
    </row>
    <row r="21" spans="1:25" x14ac:dyDescent="0.25">
      <c r="A21" s="43" t="s">
        <v>31</v>
      </c>
      <c r="B21" s="48">
        <f>ROUND((B20*90%),0)</f>
        <v>54892800</v>
      </c>
    </row>
    <row r="22" spans="1:25" x14ac:dyDescent="0.25">
      <c r="A22" s="43" t="s">
        <v>32</v>
      </c>
      <c r="B22" s="48">
        <f>ROUND((B20*80%),0)</f>
        <v>48793600</v>
      </c>
      <c r="G22">
        <v>3437</v>
      </c>
    </row>
    <row r="23" spans="1:25" x14ac:dyDescent="0.25">
      <c r="A23" s="43" t="s">
        <v>33</v>
      </c>
      <c r="B23" s="48">
        <f>MROUND((B20*0.025/12),500)</f>
        <v>127000</v>
      </c>
      <c r="G23">
        <f>G22*1.1</f>
        <v>3780.7000000000003</v>
      </c>
    </row>
    <row r="24" spans="1:25" x14ac:dyDescent="0.25">
      <c r="G24">
        <f>3781+355</f>
        <v>4136</v>
      </c>
    </row>
    <row r="25" spans="1:25" x14ac:dyDescent="0.25">
      <c r="B25" s="5">
        <f>B20/222</f>
        <v>274738.73873873876</v>
      </c>
    </row>
    <row r="26" spans="1:25" x14ac:dyDescent="0.25">
      <c r="N26" s="17"/>
      <c r="O26" s="17"/>
      <c r="P26" s="52">
        <v>401</v>
      </c>
      <c r="Q26" s="52"/>
      <c r="R26" s="52">
        <v>402</v>
      </c>
      <c r="S26" s="52"/>
      <c r="T26" s="52">
        <v>403</v>
      </c>
      <c r="U26" s="17"/>
      <c r="V26" s="17"/>
      <c r="X26" s="1" t="s">
        <v>55</v>
      </c>
      <c r="Y26" s="1">
        <v>117500</v>
      </c>
    </row>
    <row r="27" spans="1:25" x14ac:dyDescent="0.25">
      <c r="J27" s="49">
        <v>401</v>
      </c>
      <c r="K27" s="49">
        <v>402</v>
      </c>
      <c r="L27" s="49">
        <v>403</v>
      </c>
      <c r="N27" s="17" t="s">
        <v>59</v>
      </c>
      <c r="O27" s="17"/>
      <c r="P27" s="53">
        <v>3437</v>
      </c>
      <c r="Q27" s="53"/>
      <c r="R27" s="53">
        <v>5934</v>
      </c>
      <c r="S27" s="53"/>
      <c r="T27" s="53">
        <v>3449</v>
      </c>
      <c r="U27" s="17"/>
      <c r="V27" s="17"/>
      <c r="X27" s="1"/>
      <c r="Y27" s="1">
        <f>Y26/10.764</f>
        <v>10916.01635079896</v>
      </c>
    </row>
    <row r="28" spans="1:25" x14ac:dyDescent="0.25">
      <c r="J28">
        <v>319.32</v>
      </c>
      <c r="K28">
        <v>551.29</v>
      </c>
      <c r="L28">
        <v>320.43</v>
      </c>
      <c r="M28">
        <f>SUM(J28:L28)</f>
        <v>1191.04</v>
      </c>
      <c r="N28" s="17" t="s">
        <v>60</v>
      </c>
      <c r="O28" s="17"/>
      <c r="P28" s="53">
        <v>355</v>
      </c>
      <c r="Q28" s="53"/>
      <c r="R28" s="53">
        <v>795</v>
      </c>
      <c r="S28" s="53"/>
      <c r="T28" s="53">
        <v>355</v>
      </c>
      <c r="U28" s="17"/>
      <c r="V28" s="17"/>
      <c r="X28" s="1"/>
      <c r="Y28" s="1">
        <v>10916</v>
      </c>
    </row>
    <row r="29" spans="1:25" x14ac:dyDescent="0.25">
      <c r="J29">
        <f>J28*10.764</f>
        <v>3437.1604799999996</v>
      </c>
      <c r="K29">
        <f>K28*10.764</f>
        <v>5934.0855599999995</v>
      </c>
      <c r="L29">
        <f>L28*10.764</f>
        <v>3449.1085199999998</v>
      </c>
      <c r="N29" s="17"/>
      <c r="O29" s="17"/>
      <c r="P29" s="53"/>
      <c r="Q29" s="53"/>
      <c r="R29" s="53"/>
      <c r="S29" s="53"/>
      <c r="T29" s="53"/>
      <c r="U29" s="17"/>
      <c r="V29" s="17"/>
    </row>
    <row r="30" spans="1:25" x14ac:dyDescent="0.25">
      <c r="N30" s="52" t="s">
        <v>61</v>
      </c>
      <c r="O30" s="52"/>
      <c r="P30" s="55">
        <f>P27+P28</f>
        <v>3792</v>
      </c>
      <c r="Q30" s="55"/>
      <c r="R30" s="55">
        <f>R27+R28</f>
        <v>6729</v>
      </c>
      <c r="S30" s="55"/>
      <c r="T30" s="55">
        <f>T27+T28</f>
        <v>3804</v>
      </c>
      <c r="U30" s="52"/>
      <c r="V30" s="56">
        <f>P30+R30+T30</f>
        <v>14325</v>
      </c>
    </row>
    <row r="31" spans="1:25" x14ac:dyDescent="0.25">
      <c r="J31">
        <v>32.979999999999997</v>
      </c>
      <c r="K31">
        <v>73.86</v>
      </c>
      <c r="L31">
        <v>32.979999999999997</v>
      </c>
      <c r="M31">
        <f>SUM(J31:L31)</f>
        <v>139.82</v>
      </c>
      <c r="N31" s="17"/>
      <c r="O31" s="17"/>
      <c r="P31" s="53"/>
      <c r="Q31" s="53"/>
      <c r="R31" s="53"/>
      <c r="S31" s="53"/>
      <c r="T31" s="53"/>
      <c r="U31" s="17"/>
      <c r="V31" s="17"/>
      <c r="Y31">
        <v>2023</v>
      </c>
    </row>
    <row r="32" spans="1:25" x14ac:dyDescent="0.25">
      <c r="J32">
        <f>J31*10.764</f>
        <v>354.99671999999993</v>
      </c>
      <c r="K32">
        <f>K31*10.764</f>
        <v>795.0290399999999</v>
      </c>
      <c r="L32">
        <f>L31*10.764</f>
        <v>354.99671999999993</v>
      </c>
      <c r="N32" s="17" t="s">
        <v>42</v>
      </c>
      <c r="O32" s="17"/>
      <c r="P32" s="53">
        <v>16000</v>
      </c>
      <c r="Q32" s="53"/>
      <c r="R32" s="53">
        <v>16000</v>
      </c>
      <c r="S32" s="53"/>
      <c r="T32" s="53">
        <v>16000</v>
      </c>
      <c r="U32" s="17"/>
      <c r="V32" s="17"/>
      <c r="Y32">
        <v>2021</v>
      </c>
    </row>
    <row r="33" spans="3:25" x14ac:dyDescent="0.25">
      <c r="N33" s="17"/>
      <c r="O33" s="17"/>
      <c r="P33" s="53"/>
      <c r="Q33" s="53"/>
      <c r="R33" s="53"/>
      <c r="S33" s="53"/>
      <c r="T33" s="53"/>
      <c r="U33" s="17"/>
      <c r="V33" s="17"/>
      <c r="Y33">
        <f>Y31-Y32</f>
        <v>2</v>
      </c>
    </row>
    <row r="34" spans="3:25" x14ac:dyDescent="0.25">
      <c r="J34">
        <f>J31+J28</f>
        <v>352.3</v>
      </c>
      <c r="K34">
        <f t="shared" ref="K34:L34" si="6">K31+K28</f>
        <v>625.15</v>
      </c>
      <c r="L34">
        <f t="shared" si="6"/>
        <v>353.41</v>
      </c>
      <c r="M34">
        <f>SUM(J34:L34)</f>
        <v>1330.8600000000001</v>
      </c>
      <c r="N34" s="52" t="s">
        <v>50</v>
      </c>
      <c r="O34" s="52"/>
      <c r="P34" s="55">
        <f>P32*P30</f>
        <v>60672000</v>
      </c>
      <c r="Q34" s="55"/>
      <c r="R34" s="55">
        <f>R32*R30</f>
        <v>107664000</v>
      </c>
      <c r="S34" s="55"/>
      <c r="T34" s="55">
        <f>T32*T30</f>
        <v>60864000</v>
      </c>
      <c r="U34" s="52"/>
      <c r="V34" s="56">
        <f>P34+R34+T34</f>
        <v>229200000</v>
      </c>
    </row>
    <row r="35" spans="3:25" x14ac:dyDescent="0.25">
      <c r="N35" s="17" t="s">
        <v>12</v>
      </c>
      <c r="O35" s="17"/>
      <c r="P35" s="53">
        <f>P34*90%</f>
        <v>54604800</v>
      </c>
      <c r="Q35" s="53"/>
      <c r="R35" s="53">
        <f>R34*90%</f>
        <v>96897600</v>
      </c>
      <c r="S35" s="53"/>
      <c r="T35" s="53">
        <f>T34*90%</f>
        <v>54777600</v>
      </c>
      <c r="U35" s="17"/>
      <c r="V35" s="17"/>
    </row>
    <row r="36" spans="3:25" x14ac:dyDescent="0.25">
      <c r="J36">
        <f>J34*10.764</f>
        <v>3792.1572000000001</v>
      </c>
      <c r="K36">
        <f t="shared" ref="K36:L36" si="7">K34*10.764</f>
        <v>6729.114599999999</v>
      </c>
      <c r="L36">
        <f t="shared" si="7"/>
        <v>3804.1052399999999</v>
      </c>
      <c r="N36" s="17" t="s">
        <v>51</v>
      </c>
      <c r="O36" s="17"/>
      <c r="P36" s="53">
        <f>P34*80%</f>
        <v>48537600</v>
      </c>
      <c r="Q36" s="53"/>
      <c r="R36" s="53">
        <f>R34*80%</f>
        <v>86131200</v>
      </c>
      <c r="S36" s="53"/>
      <c r="T36" s="53">
        <f>T34*80%</f>
        <v>48691200</v>
      </c>
      <c r="U36" s="17"/>
      <c r="V36" s="17"/>
    </row>
    <row r="37" spans="3:25" x14ac:dyDescent="0.25">
      <c r="C37">
        <v>72</v>
      </c>
      <c r="D37" t="s">
        <v>56</v>
      </c>
      <c r="N37" s="17"/>
      <c r="O37" s="17"/>
      <c r="P37" s="53"/>
      <c r="Q37" s="53"/>
      <c r="R37" s="53"/>
      <c r="S37" s="53"/>
      <c r="T37" s="53"/>
      <c r="U37" s="17"/>
      <c r="V37" s="17"/>
    </row>
    <row r="38" spans="3:25" x14ac:dyDescent="0.25">
      <c r="C38">
        <v>62</v>
      </c>
      <c r="D38" t="s">
        <v>57</v>
      </c>
      <c r="N38" s="52" t="s">
        <v>63</v>
      </c>
      <c r="O38" s="52"/>
      <c r="P38" s="55">
        <f>P30*1.1</f>
        <v>4171.2000000000007</v>
      </c>
      <c r="Q38" s="55"/>
      <c r="R38" s="55">
        <f>R30*1.1</f>
        <v>7401.9000000000005</v>
      </c>
      <c r="S38" s="55"/>
      <c r="T38" s="55">
        <f>T30*1.1</f>
        <v>4184.4000000000005</v>
      </c>
      <c r="U38" s="17"/>
      <c r="V38" s="17"/>
    </row>
    <row r="39" spans="3:25" ht="45" x14ac:dyDescent="0.25">
      <c r="C39">
        <v>43</v>
      </c>
      <c r="D39" t="s">
        <v>58</v>
      </c>
      <c r="N39" s="54" t="s">
        <v>23</v>
      </c>
      <c r="O39" s="17"/>
      <c r="P39" s="53">
        <v>2800</v>
      </c>
      <c r="Q39" s="53"/>
      <c r="R39" s="53">
        <v>2800</v>
      </c>
      <c r="S39" s="53"/>
      <c r="T39" s="53">
        <v>2800</v>
      </c>
      <c r="U39" s="17"/>
      <c r="V39" s="17"/>
    </row>
    <row r="40" spans="3:25" x14ac:dyDescent="0.25">
      <c r="C40">
        <v>14</v>
      </c>
      <c r="D40" t="s">
        <v>15</v>
      </c>
      <c r="F40" s="1"/>
      <c r="G40" s="1"/>
      <c r="N40" s="17"/>
      <c r="O40" s="17"/>
      <c r="P40" s="53"/>
      <c r="Q40" s="53"/>
      <c r="R40" s="53"/>
      <c r="S40" s="53"/>
      <c r="T40" s="53"/>
      <c r="U40" s="17"/>
      <c r="V40" s="17"/>
    </row>
    <row r="41" spans="3:25" x14ac:dyDescent="0.25">
      <c r="N41" s="17" t="s">
        <v>62</v>
      </c>
      <c r="O41" s="17"/>
      <c r="P41" s="53">
        <f>P39*P38</f>
        <v>11679360.000000002</v>
      </c>
      <c r="Q41" s="53"/>
      <c r="R41" s="53">
        <f>R39*R38</f>
        <v>20725320</v>
      </c>
      <c r="S41" s="53"/>
      <c r="T41" s="53">
        <f>T39*T38</f>
        <v>11716320.000000002</v>
      </c>
      <c r="U41" s="17"/>
      <c r="V41" s="17"/>
    </row>
    <row r="42" spans="3:25" x14ac:dyDescent="0.25">
      <c r="N42" s="17"/>
      <c r="O42" s="17"/>
      <c r="P42" s="53"/>
      <c r="Q42" s="53"/>
      <c r="R42" s="53"/>
      <c r="S42" s="53"/>
      <c r="T42" s="53"/>
      <c r="U42" s="17"/>
      <c r="V42" s="17"/>
    </row>
    <row r="43" spans="3:25" x14ac:dyDescent="0.25">
      <c r="N43" s="17" t="s">
        <v>64</v>
      </c>
      <c r="O43" s="17"/>
      <c r="P43" s="53">
        <f>P38*Y28</f>
        <v>45532819.20000001</v>
      </c>
      <c r="Q43" s="53"/>
      <c r="R43" s="53">
        <f>R38*Y28</f>
        <v>80799140.400000006</v>
      </c>
      <c r="S43" s="53"/>
      <c r="T43" s="53">
        <f>T38*Y28</f>
        <v>45676910.400000006</v>
      </c>
      <c r="U43" s="17"/>
      <c r="V43" s="17"/>
    </row>
    <row r="44" spans="3:25" x14ac:dyDescent="0.25">
      <c r="N44" s="17"/>
      <c r="O44" s="17"/>
      <c r="P44" s="53"/>
      <c r="Q44" s="53"/>
      <c r="R44" s="53"/>
      <c r="S44" s="53"/>
      <c r="T44" s="53"/>
      <c r="U44" s="17"/>
      <c r="V44" s="17"/>
    </row>
    <row r="45" spans="3:25" x14ac:dyDescent="0.25">
      <c r="N45" s="17" t="s">
        <v>33</v>
      </c>
      <c r="O45" s="17"/>
      <c r="P45" s="53">
        <f>P34*0.03/12</f>
        <v>151680</v>
      </c>
      <c r="Q45" s="53"/>
      <c r="R45" s="53">
        <f>R34*0.03/12</f>
        <v>269160</v>
      </c>
      <c r="S45" s="53"/>
      <c r="T45" s="53">
        <f>T34*0.03/12</f>
        <v>152160</v>
      </c>
      <c r="U45" s="17"/>
      <c r="V45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abSelected="1" workbookViewId="0">
      <selection activeCell="P10" sqref="P10"/>
    </sheetView>
  </sheetViews>
  <sheetFormatPr defaultRowHeight="15" x14ac:dyDescent="0.25"/>
  <cols>
    <col min="1" max="1" width="11.85546875" bestFit="1" customWidth="1"/>
    <col min="8" max="8" width="13.28515625" customWidth="1"/>
    <col min="10" max="10" width="14.28515625" bestFit="1" customWidth="1"/>
    <col min="12" max="12" width="15.28515625" bestFit="1" customWidth="1"/>
    <col min="14" max="14" width="14.28515625" bestFit="1" customWidth="1"/>
    <col min="16" max="16" width="15.28515625" bestFit="1" customWidth="1"/>
    <col min="19" max="19" width="11.5703125" bestFit="1" customWidth="1"/>
  </cols>
  <sheetData>
    <row r="2" spans="1:19" x14ac:dyDescent="0.25">
      <c r="H2" s="17"/>
      <c r="I2" s="17"/>
      <c r="J2" s="52">
        <v>401</v>
      </c>
      <c r="K2" s="52"/>
      <c r="L2" s="52">
        <v>402</v>
      </c>
      <c r="M2" s="52"/>
      <c r="N2" s="52">
        <v>403</v>
      </c>
      <c r="O2" s="17"/>
      <c r="P2" s="17"/>
      <c r="R2" s="1" t="s">
        <v>55</v>
      </c>
      <c r="S2" s="1">
        <v>117500</v>
      </c>
    </row>
    <row r="3" spans="1:19" x14ac:dyDescent="0.25">
      <c r="B3" s="52">
        <v>401</v>
      </c>
      <c r="C3" s="52">
        <v>402</v>
      </c>
      <c r="D3" s="52">
        <v>403</v>
      </c>
      <c r="E3" s="17"/>
      <c r="H3" s="17" t="s">
        <v>59</v>
      </c>
      <c r="I3" s="17"/>
      <c r="J3" s="53">
        <v>3437</v>
      </c>
      <c r="K3" s="53"/>
      <c r="L3" s="53">
        <v>5934</v>
      </c>
      <c r="M3" s="53"/>
      <c r="N3" s="53">
        <v>3449</v>
      </c>
      <c r="O3" s="17"/>
      <c r="P3" s="17"/>
      <c r="R3" s="1"/>
      <c r="S3" s="1">
        <f>S2/10.764</f>
        <v>10916.01635079896</v>
      </c>
    </row>
    <row r="4" spans="1:19" x14ac:dyDescent="0.25">
      <c r="A4" t="s">
        <v>59</v>
      </c>
      <c r="B4" s="52">
        <v>319.32</v>
      </c>
      <c r="C4" s="52">
        <v>551.29</v>
      </c>
      <c r="D4" s="52">
        <v>320.43</v>
      </c>
      <c r="E4" s="52">
        <f>SUM(B4:D4)</f>
        <v>1191.04</v>
      </c>
      <c r="H4" s="17" t="s">
        <v>60</v>
      </c>
      <c r="I4" s="17"/>
      <c r="J4" s="53">
        <v>355</v>
      </c>
      <c r="K4" s="53"/>
      <c r="L4" s="53">
        <v>795</v>
      </c>
      <c r="M4" s="53"/>
      <c r="N4" s="53">
        <v>355</v>
      </c>
      <c r="O4" s="17"/>
      <c r="P4" s="17"/>
      <c r="R4" s="1"/>
      <c r="S4" s="1">
        <v>10916</v>
      </c>
    </row>
    <row r="5" spans="1:19" x14ac:dyDescent="0.25">
      <c r="B5" s="17">
        <f>B4*10.764</f>
        <v>3437.1604799999996</v>
      </c>
      <c r="C5" s="17">
        <f>C4*10.764</f>
        <v>5934.0855599999995</v>
      </c>
      <c r="D5" s="17">
        <f>D4*10.764</f>
        <v>3449.1085199999998</v>
      </c>
      <c r="E5" s="17"/>
      <c r="H5" s="17"/>
      <c r="I5" s="17"/>
      <c r="J5" s="53"/>
      <c r="K5" s="53"/>
      <c r="L5" s="53"/>
      <c r="M5" s="53"/>
      <c r="N5" s="53"/>
      <c r="O5" s="17"/>
      <c r="P5" s="17"/>
    </row>
    <row r="6" spans="1:19" x14ac:dyDescent="0.25">
      <c r="B6" s="17"/>
      <c r="C6" s="17"/>
      <c r="D6" s="17"/>
      <c r="E6" s="17"/>
      <c r="H6" s="52" t="s">
        <v>61</v>
      </c>
      <c r="I6" s="52"/>
      <c r="J6" s="55">
        <f>J3+J4</f>
        <v>3792</v>
      </c>
      <c r="K6" s="55"/>
      <c r="L6" s="55">
        <f>L3+L4</f>
        <v>6729</v>
      </c>
      <c r="M6" s="55"/>
      <c r="N6" s="55">
        <f>N3+N4</f>
        <v>3804</v>
      </c>
      <c r="O6" s="52"/>
      <c r="P6" s="56">
        <f>J6+L6+N6</f>
        <v>14325</v>
      </c>
    </row>
    <row r="7" spans="1:19" x14ac:dyDescent="0.25">
      <c r="A7" t="s">
        <v>60</v>
      </c>
      <c r="B7" s="52">
        <v>32.979999999999997</v>
      </c>
      <c r="C7" s="52">
        <v>73.86</v>
      </c>
      <c r="D7" s="52">
        <v>32.979999999999997</v>
      </c>
      <c r="E7" s="52">
        <f>SUM(B7:D7)</f>
        <v>139.82</v>
      </c>
      <c r="H7" s="17"/>
      <c r="I7" s="17"/>
      <c r="J7" s="53"/>
      <c r="K7" s="53"/>
      <c r="L7" s="53"/>
      <c r="M7" s="53"/>
      <c r="N7" s="53"/>
      <c r="O7" s="17"/>
      <c r="P7" s="17"/>
      <c r="S7">
        <v>2023</v>
      </c>
    </row>
    <row r="8" spans="1:19" x14ac:dyDescent="0.25">
      <c r="B8" s="17">
        <f>B7*10.764</f>
        <v>354.99671999999993</v>
      </c>
      <c r="C8" s="17">
        <f>C7*10.764</f>
        <v>795.0290399999999</v>
      </c>
      <c r="D8" s="17">
        <f>D7*10.764</f>
        <v>354.99671999999993</v>
      </c>
      <c r="E8" s="17"/>
      <c r="H8" s="17" t="s">
        <v>42</v>
      </c>
      <c r="I8" s="17"/>
      <c r="J8" s="53">
        <v>16000</v>
      </c>
      <c r="K8" s="53"/>
      <c r="L8" s="53">
        <v>16000</v>
      </c>
      <c r="M8" s="53"/>
      <c r="N8" s="53">
        <v>16000</v>
      </c>
      <c r="O8" s="17"/>
      <c r="P8" s="17"/>
      <c r="S8">
        <v>2021</v>
      </c>
    </row>
    <row r="9" spans="1:19" x14ac:dyDescent="0.25">
      <c r="B9" s="17"/>
      <c r="C9" s="17"/>
      <c r="D9" s="17"/>
      <c r="E9" s="17"/>
      <c r="H9" s="17"/>
      <c r="I9" s="17"/>
      <c r="J9" s="53"/>
      <c r="K9" s="53"/>
      <c r="L9" s="53"/>
      <c r="M9" s="53"/>
      <c r="N9" s="53"/>
      <c r="O9" s="17"/>
      <c r="P9" s="17"/>
      <c r="S9">
        <f>S7-S8</f>
        <v>2</v>
      </c>
    </row>
    <row r="10" spans="1:19" x14ac:dyDescent="0.25">
      <c r="A10" t="s">
        <v>61</v>
      </c>
      <c r="B10" s="52">
        <f>B7+B4</f>
        <v>352.3</v>
      </c>
      <c r="C10" s="52">
        <f t="shared" ref="C10:D10" si="0">C7+C4</f>
        <v>625.15</v>
      </c>
      <c r="D10" s="52">
        <f t="shared" si="0"/>
        <v>353.41</v>
      </c>
      <c r="E10" s="52">
        <f>SUM(B10:D10)</f>
        <v>1330.8600000000001</v>
      </c>
      <c r="H10" s="52" t="s">
        <v>50</v>
      </c>
      <c r="I10" s="52"/>
      <c r="J10" s="55">
        <f>J8*J6</f>
        <v>60672000</v>
      </c>
      <c r="K10" s="55"/>
      <c r="L10" s="55">
        <f>L8*L6</f>
        <v>107664000</v>
      </c>
      <c r="M10" s="55"/>
      <c r="N10" s="55">
        <f>N8*N6</f>
        <v>60864000</v>
      </c>
      <c r="O10" s="52"/>
      <c r="P10" s="58">
        <f>J10+L10+N10</f>
        <v>229200000</v>
      </c>
    </row>
    <row r="11" spans="1:19" x14ac:dyDescent="0.25">
      <c r="B11" s="17"/>
      <c r="C11" s="17"/>
      <c r="D11" s="17"/>
      <c r="E11" s="17"/>
      <c r="H11" s="17" t="s">
        <v>12</v>
      </c>
      <c r="I11" s="17"/>
      <c r="J11" s="53">
        <f>J10*90%</f>
        <v>54604800</v>
      </c>
      <c r="K11" s="53"/>
      <c r="L11" s="53">
        <f>L10*90%</f>
        <v>96897600</v>
      </c>
      <c r="M11" s="53"/>
      <c r="N11" s="53">
        <f>N10*90%</f>
        <v>54777600</v>
      </c>
      <c r="O11" s="17"/>
      <c r="P11" s="17"/>
    </row>
    <row r="12" spans="1:19" x14ac:dyDescent="0.25">
      <c r="B12" s="17">
        <f>B10*10.764</f>
        <v>3792.1572000000001</v>
      </c>
      <c r="C12" s="17">
        <f t="shared" ref="C12:D12" si="1">C10*10.764</f>
        <v>6729.114599999999</v>
      </c>
      <c r="D12" s="17">
        <f t="shared" si="1"/>
        <v>3804.1052399999999</v>
      </c>
      <c r="E12" s="17"/>
      <c r="H12" s="17" t="s">
        <v>51</v>
      </c>
      <c r="I12" s="17"/>
      <c r="J12" s="53">
        <f>J10*80%</f>
        <v>48537600</v>
      </c>
      <c r="K12" s="53"/>
      <c r="L12" s="53">
        <f>L10*80%</f>
        <v>86131200</v>
      </c>
      <c r="M12" s="53"/>
      <c r="N12" s="53">
        <f>N10*80%</f>
        <v>48691200</v>
      </c>
      <c r="O12" s="17"/>
      <c r="P12" s="17"/>
    </row>
    <row r="13" spans="1:19" x14ac:dyDescent="0.25">
      <c r="H13" s="17"/>
      <c r="I13" s="17"/>
      <c r="J13" s="53"/>
      <c r="K13" s="53"/>
      <c r="L13" s="53"/>
      <c r="M13" s="53"/>
      <c r="N13" s="53"/>
      <c r="O13" s="17"/>
      <c r="P13" s="17"/>
    </row>
    <row r="14" spans="1:19" x14ac:dyDescent="0.25">
      <c r="H14" s="52" t="s">
        <v>63</v>
      </c>
      <c r="I14" s="52"/>
      <c r="J14" s="55">
        <f>J6*1.1</f>
        <v>4171.2000000000007</v>
      </c>
      <c r="K14" s="55"/>
      <c r="L14" s="55">
        <f>L6*1.1</f>
        <v>7401.9000000000005</v>
      </c>
      <c r="M14" s="55"/>
      <c r="N14" s="55">
        <f>N6*1.1</f>
        <v>4184.4000000000005</v>
      </c>
      <c r="O14" s="17"/>
      <c r="P14" s="17"/>
    </row>
    <row r="15" spans="1:19" s="51" customFormat="1" ht="30" x14ac:dyDescent="0.25">
      <c r="H15" s="54" t="s">
        <v>23</v>
      </c>
      <c r="I15" s="54"/>
      <c r="J15" s="57">
        <v>2800</v>
      </c>
      <c r="K15" s="57"/>
      <c r="L15" s="57">
        <v>2800</v>
      </c>
      <c r="M15" s="57"/>
      <c r="N15" s="57">
        <v>2800</v>
      </c>
      <c r="O15" s="54"/>
      <c r="P15" s="54"/>
    </row>
    <row r="16" spans="1:19" x14ac:dyDescent="0.25">
      <c r="H16" s="17"/>
      <c r="I16" s="17"/>
      <c r="J16" s="53"/>
      <c r="K16" s="53"/>
      <c r="L16" s="53"/>
      <c r="M16" s="53"/>
      <c r="N16" s="53"/>
      <c r="O16" s="17"/>
      <c r="P16" s="17"/>
    </row>
    <row r="17" spans="8:16" x14ac:dyDescent="0.25">
      <c r="H17" s="17" t="s">
        <v>62</v>
      </c>
      <c r="I17" s="17"/>
      <c r="J17" s="53">
        <f>J15*J14</f>
        <v>11679360.000000002</v>
      </c>
      <c r="K17" s="53"/>
      <c r="L17" s="53">
        <f>L15*L14</f>
        <v>20725320</v>
      </c>
      <c r="M17" s="53"/>
      <c r="N17" s="53">
        <f>N15*N14</f>
        <v>11716320.000000002</v>
      </c>
      <c r="O17" s="17"/>
      <c r="P17" s="17"/>
    </row>
    <row r="18" spans="8:16" x14ac:dyDescent="0.25">
      <c r="H18" s="17"/>
      <c r="I18" s="17"/>
      <c r="J18" s="53"/>
      <c r="K18" s="53"/>
      <c r="L18" s="53"/>
      <c r="M18" s="53"/>
      <c r="N18" s="53"/>
      <c r="O18" s="17"/>
      <c r="P18" s="17"/>
    </row>
    <row r="19" spans="8:16" x14ac:dyDescent="0.25">
      <c r="H19" s="17" t="s">
        <v>64</v>
      </c>
      <c r="I19" s="17"/>
      <c r="J19" s="53">
        <f>J14*S4</f>
        <v>45532819.20000001</v>
      </c>
      <c r="K19" s="53"/>
      <c r="L19" s="53">
        <f>L14*S4</f>
        <v>80799140.400000006</v>
      </c>
      <c r="M19" s="53"/>
      <c r="N19" s="53">
        <f>N14*S4</f>
        <v>45676910.400000006</v>
      </c>
      <c r="O19" s="17"/>
      <c r="P19" s="17"/>
    </row>
    <row r="20" spans="8:16" x14ac:dyDescent="0.25">
      <c r="H20" s="17"/>
      <c r="I20" s="17"/>
      <c r="J20" s="53"/>
      <c r="K20" s="53"/>
      <c r="L20" s="53"/>
      <c r="M20" s="53"/>
      <c r="N20" s="53"/>
      <c r="O20" s="17"/>
      <c r="P20" s="17"/>
    </row>
    <row r="21" spans="8:16" x14ac:dyDescent="0.25">
      <c r="H21" s="17" t="s">
        <v>33</v>
      </c>
      <c r="I21" s="17"/>
      <c r="J21" s="53">
        <f>J10*0.03/12</f>
        <v>151680</v>
      </c>
      <c r="K21" s="53"/>
      <c r="L21" s="53">
        <f>L10*0.03/12</f>
        <v>269160</v>
      </c>
      <c r="M21" s="53"/>
      <c r="N21" s="53">
        <f>N10*0.03/12</f>
        <v>152160</v>
      </c>
      <c r="O21" s="17"/>
      <c r="P21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Raheja</vt:lpstr>
      <vt:lpstr>Khar West</vt:lpstr>
      <vt:lpstr>Final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2023-12-18T18:55:23Z</dcterms:modified>
</cp:coreProperties>
</file>