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 Checking Cases\Allwin Industries - Pithampur\"/>
    </mc:Choice>
  </mc:AlternateContent>
  <xr:revisionPtr revIDLastSave="0" documentId="13_ncr:1_{21CA9D37-9AC8-40DD-8F5A-3D275529FA9A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old" sheetId="10" r:id="rId1"/>
    <sheet name="Sheet1" sheetId="11" r:id="rId2"/>
    <sheet name="Sheet2" sheetId="12" r:id="rId3"/>
    <sheet name="Sheet3" sheetId="13" r:id="rId4"/>
    <sheet name="revised" sheetId="14" r:id="rId5"/>
  </sheets>
  <calcPr calcId="191029"/>
</workbook>
</file>

<file path=xl/calcChain.xml><?xml version="1.0" encoding="utf-8"?>
<calcChain xmlns="http://schemas.openxmlformats.org/spreadsheetml/2006/main">
  <c r="C36" i="14" l="1"/>
  <c r="O15" i="14"/>
  <c r="N15" i="14"/>
  <c r="C15" i="14"/>
  <c r="K50" i="14"/>
  <c r="C40" i="14"/>
  <c r="C38" i="14"/>
  <c r="K37" i="14"/>
  <c r="K38" i="14" s="1"/>
  <c r="L36" i="14"/>
  <c r="F36" i="14"/>
  <c r="F35" i="14"/>
  <c r="K30" i="14"/>
  <c r="H30" i="14"/>
  <c r="L27" i="14"/>
  <c r="G27" i="14"/>
  <c r="H26" i="14"/>
  <c r="H25" i="14"/>
  <c r="C25" i="14"/>
  <c r="C31" i="14" s="1"/>
  <c r="H24" i="14"/>
  <c r="F24" i="14"/>
  <c r="H23" i="14"/>
  <c r="F23" i="14"/>
  <c r="H22" i="14"/>
  <c r="H21" i="14"/>
  <c r="K20" i="14"/>
  <c r="H20" i="14"/>
  <c r="C20" i="14"/>
  <c r="C30" i="14" s="1"/>
  <c r="H19" i="14"/>
  <c r="H18" i="14"/>
  <c r="O14" i="14"/>
  <c r="H14" i="14"/>
  <c r="I14" i="14" s="1"/>
  <c r="O13" i="14"/>
  <c r="H13" i="14"/>
  <c r="I13" i="14" s="1"/>
  <c r="O12" i="14"/>
  <c r="H12" i="14"/>
  <c r="I12" i="14" s="1"/>
  <c r="O11" i="14"/>
  <c r="H11" i="14"/>
  <c r="I11" i="14" s="1"/>
  <c r="O10" i="14"/>
  <c r="H10" i="14"/>
  <c r="I10" i="14" s="1"/>
  <c r="O9" i="14"/>
  <c r="H9" i="14"/>
  <c r="I9" i="14" s="1"/>
  <c r="O8" i="14"/>
  <c r="H8" i="14"/>
  <c r="I8" i="14" s="1"/>
  <c r="N4" i="14"/>
  <c r="C4" i="14"/>
  <c r="C28" i="14" s="1"/>
  <c r="X3" i="14"/>
  <c r="Y3" i="14" s="1"/>
  <c r="L2" i="14"/>
  <c r="K2" i="14"/>
  <c r="G2" i="14"/>
  <c r="L2" i="10"/>
  <c r="O17" i="10"/>
  <c r="H17" i="10"/>
  <c r="J17" i="10" s="1"/>
  <c r="K17" i="10" s="1"/>
  <c r="L17" i="10" s="1"/>
  <c r="N17" i="10" s="1"/>
  <c r="O16" i="10"/>
  <c r="H16" i="10"/>
  <c r="J16" i="10" s="1"/>
  <c r="K16" i="10" s="1"/>
  <c r="L16" i="10" s="1"/>
  <c r="N16" i="10" s="1"/>
  <c r="O15" i="10"/>
  <c r="H15" i="10"/>
  <c r="J15" i="10" s="1"/>
  <c r="K15" i="10" s="1"/>
  <c r="L15" i="10" s="1"/>
  <c r="N15" i="10" s="1"/>
  <c r="O14" i="10"/>
  <c r="H14" i="10"/>
  <c r="J14" i="10" s="1"/>
  <c r="K14" i="10" s="1"/>
  <c r="L14" i="10" s="1"/>
  <c r="N14" i="10" s="1"/>
  <c r="O13" i="10"/>
  <c r="H13" i="10"/>
  <c r="J13" i="10" s="1"/>
  <c r="K13" i="10" s="1"/>
  <c r="L13" i="10" s="1"/>
  <c r="N13" i="10" s="1"/>
  <c r="O12" i="10"/>
  <c r="H12" i="10"/>
  <c r="J12" i="10" s="1"/>
  <c r="K12" i="10" s="1"/>
  <c r="L12" i="10" s="1"/>
  <c r="N12" i="10" s="1"/>
  <c r="O11" i="10"/>
  <c r="H11" i="10"/>
  <c r="J11" i="10" s="1"/>
  <c r="K11" i="10" s="1"/>
  <c r="L11" i="10" s="1"/>
  <c r="N11" i="10" s="1"/>
  <c r="O10" i="10"/>
  <c r="H10" i="10"/>
  <c r="J10" i="10" s="1"/>
  <c r="K10" i="10" s="1"/>
  <c r="L10" i="10" s="1"/>
  <c r="N10" i="10" s="1"/>
  <c r="O30" i="11"/>
  <c r="G2" i="10"/>
  <c r="K77" i="10"/>
  <c r="K47" i="10"/>
  <c r="K2" i="10"/>
  <c r="J9" i="14" l="1"/>
  <c r="K9" i="14" s="1"/>
  <c r="L9" i="14" s="1"/>
  <c r="N9" i="14" s="1"/>
  <c r="M9" i="14" s="1"/>
  <c r="J11" i="14"/>
  <c r="K11" i="14" s="1"/>
  <c r="L11" i="14" s="1"/>
  <c r="N11" i="14" s="1"/>
  <c r="M11" i="14" s="1"/>
  <c r="J13" i="14"/>
  <c r="K13" i="14" s="1"/>
  <c r="L13" i="14" s="1"/>
  <c r="N13" i="14" s="1"/>
  <c r="H27" i="14"/>
  <c r="C35" i="14"/>
  <c r="M13" i="14"/>
  <c r="J8" i="14"/>
  <c r="K8" i="14" s="1"/>
  <c r="L8" i="14" s="1"/>
  <c r="N8" i="14" s="1"/>
  <c r="J10" i="14"/>
  <c r="K10" i="14" s="1"/>
  <c r="L10" i="14" s="1"/>
  <c r="N10" i="14" s="1"/>
  <c r="M10" i="14" s="1"/>
  <c r="J12" i="14"/>
  <c r="K12" i="14" s="1"/>
  <c r="L12" i="14" s="1"/>
  <c r="N12" i="14" s="1"/>
  <c r="M12" i="14" s="1"/>
  <c r="J14" i="14"/>
  <c r="K14" i="14" s="1"/>
  <c r="L14" i="14" s="1"/>
  <c r="N14" i="14" s="1"/>
  <c r="M14" i="14" s="1"/>
  <c r="M14" i="10"/>
  <c r="M17" i="10"/>
  <c r="I17" i="10"/>
  <c r="M16" i="10"/>
  <c r="I16" i="10"/>
  <c r="M15" i="10"/>
  <c r="I15" i="10"/>
  <c r="I14" i="10"/>
  <c r="M13" i="10"/>
  <c r="I13" i="10"/>
  <c r="M12" i="10"/>
  <c r="I12" i="10"/>
  <c r="M11" i="10"/>
  <c r="I11" i="10"/>
  <c r="M10" i="10"/>
  <c r="I10" i="10"/>
  <c r="F63" i="10"/>
  <c r="F62" i="10"/>
  <c r="M8" i="14" l="1"/>
  <c r="M15" i="14" s="1"/>
  <c r="C67" i="10"/>
  <c r="C65" i="10"/>
  <c r="C29" i="14" l="1"/>
  <c r="C32" i="14" s="1"/>
  <c r="L3" i="14"/>
  <c r="F51" i="10"/>
  <c r="F50" i="10"/>
  <c r="C34" i="14" l="1"/>
  <c r="C33" i="14"/>
  <c r="P3" i="14" s="1"/>
  <c r="S3" i="14" s="1"/>
  <c r="P2" i="14"/>
  <c r="S2" i="14" s="1"/>
  <c r="P4" i="14"/>
  <c r="S4" i="14" s="1"/>
  <c r="L4" i="14"/>
  <c r="G3" i="14"/>
  <c r="K57" i="10"/>
  <c r="L63" i="10"/>
  <c r="K64" i="10"/>
  <c r="K65" i="10" s="1"/>
  <c r="L54" i="10"/>
  <c r="H57" i="10"/>
  <c r="G54" i="10"/>
  <c r="H46" i="10"/>
  <c r="H47" i="10"/>
  <c r="H48" i="10"/>
  <c r="H49" i="10"/>
  <c r="H50" i="10"/>
  <c r="H51" i="10"/>
  <c r="H52" i="10"/>
  <c r="H53" i="10"/>
  <c r="H45" i="10"/>
  <c r="H54" i="10" l="1"/>
  <c r="C52" i="10"/>
  <c r="C58" i="10" s="1"/>
  <c r="C47" i="10"/>
  <c r="C57" i="10" s="1"/>
  <c r="O41" i="10"/>
  <c r="H41" i="10"/>
  <c r="J41" i="10" s="1"/>
  <c r="K41" i="10" s="1"/>
  <c r="L41" i="10" s="1"/>
  <c r="N41" i="10" s="1"/>
  <c r="O40" i="10"/>
  <c r="H40" i="10"/>
  <c r="J40" i="10" s="1"/>
  <c r="K40" i="10" s="1"/>
  <c r="L40" i="10" s="1"/>
  <c r="N40" i="10" s="1"/>
  <c r="O39" i="10"/>
  <c r="H39" i="10"/>
  <c r="J39" i="10" s="1"/>
  <c r="K39" i="10" s="1"/>
  <c r="L39" i="10" s="1"/>
  <c r="N39" i="10" s="1"/>
  <c r="O38" i="10"/>
  <c r="H38" i="10"/>
  <c r="J38" i="10" s="1"/>
  <c r="K38" i="10" s="1"/>
  <c r="L38" i="10" s="1"/>
  <c r="N38" i="10" s="1"/>
  <c r="O37" i="10"/>
  <c r="H37" i="10"/>
  <c r="J37" i="10" s="1"/>
  <c r="K37" i="10" s="1"/>
  <c r="L37" i="10" s="1"/>
  <c r="N37" i="10" s="1"/>
  <c r="O36" i="10"/>
  <c r="H36" i="10"/>
  <c r="J36" i="10" s="1"/>
  <c r="K36" i="10" s="1"/>
  <c r="L36" i="10" s="1"/>
  <c r="N36" i="10" s="1"/>
  <c r="O35" i="10"/>
  <c r="H35" i="10"/>
  <c r="J35" i="10" s="1"/>
  <c r="K35" i="10" s="1"/>
  <c r="L35" i="10" s="1"/>
  <c r="N35" i="10" s="1"/>
  <c r="O34" i="10"/>
  <c r="H34" i="10"/>
  <c r="J34" i="10" s="1"/>
  <c r="K34" i="10" s="1"/>
  <c r="L34" i="10" s="1"/>
  <c r="N34" i="10" s="1"/>
  <c r="O33" i="10"/>
  <c r="H33" i="10"/>
  <c r="J33" i="10" s="1"/>
  <c r="K33" i="10" s="1"/>
  <c r="L33" i="10" s="1"/>
  <c r="N33" i="10" s="1"/>
  <c r="O32" i="10"/>
  <c r="H32" i="10"/>
  <c r="J32" i="10" s="1"/>
  <c r="K32" i="10" s="1"/>
  <c r="L32" i="10" s="1"/>
  <c r="N32" i="10" s="1"/>
  <c r="O31" i="10"/>
  <c r="H31" i="10"/>
  <c r="J31" i="10" s="1"/>
  <c r="K31" i="10" s="1"/>
  <c r="L31" i="10" s="1"/>
  <c r="N31" i="10" s="1"/>
  <c r="O30" i="10"/>
  <c r="H30" i="10"/>
  <c r="J30" i="10" s="1"/>
  <c r="K30" i="10" s="1"/>
  <c r="L30" i="10" s="1"/>
  <c r="N30" i="10" s="1"/>
  <c r="O29" i="10"/>
  <c r="H29" i="10"/>
  <c r="J29" i="10" s="1"/>
  <c r="K29" i="10" s="1"/>
  <c r="L29" i="10" s="1"/>
  <c r="N29" i="10" s="1"/>
  <c r="O28" i="10"/>
  <c r="H28" i="10"/>
  <c r="J28" i="10" s="1"/>
  <c r="K28" i="10" s="1"/>
  <c r="L28" i="10" s="1"/>
  <c r="N28" i="10" s="1"/>
  <c r="O27" i="10"/>
  <c r="H27" i="10"/>
  <c r="J27" i="10" s="1"/>
  <c r="K27" i="10" s="1"/>
  <c r="L27" i="10" s="1"/>
  <c r="N27" i="10" s="1"/>
  <c r="O26" i="10"/>
  <c r="H26" i="10"/>
  <c r="J26" i="10" s="1"/>
  <c r="K26" i="10" s="1"/>
  <c r="L26" i="10" s="1"/>
  <c r="N26" i="10" s="1"/>
  <c r="O25" i="10"/>
  <c r="H25" i="10"/>
  <c r="J25" i="10" s="1"/>
  <c r="K25" i="10" s="1"/>
  <c r="L25" i="10" s="1"/>
  <c r="N25" i="10" s="1"/>
  <c r="O24" i="10"/>
  <c r="H24" i="10"/>
  <c r="J24" i="10" s="1"/>
  <c r="K24" i="10" s="1"/>
  <c r="L24" i="10" s="1"/>
  <c r="N24" i="10" s="1"/>
  <c r="O23" i="10"/>
  <c r="H23" i="10"/>
  <c r="J23" i="10" s="1"/>
  <c r="K23" i="10" s="1"/>
  <c r="L23" i="10" s="1"/>
  <c r="N23" i="10" s="1"/>
  <c r="O22" i="10"/>
  <c r="H22" i="10"/>
  <c r="J22" i="10" s="1"/>
  <c r="K22" i="10" s="1"/>
  <c r="L22" i="10" s="1"/>
  <c r="N22" i="10" s="1"/>
  <c r="O21" i="10"/>
  <c r="H21" i="10"/>
  <c r="J21" i="10" s="1"/>
  <c r="K21" i="10" s="1"/>
  <c r="L21" i="10" s="1"/>
  <c r="N21" i="10" s="1"/>
  <c r="O20" i="10"/>
  <c r="H20" i="10"/>
  <c r="J20" i="10" s="1"/>
  <c r="K20" i="10" s="1"/>
  <c r="L20" i="10" s="1"/>
  <c r="N20" i="10" s="1"/>
  <c r="O18" i="10"/>
  <c r="H18" i="10"/>
  <c r="I18" i="10" s="1"/>
  <c r="O9" i="10"/>
  <c r="H9" i="10"/>
  <c r="I9" i="10" s="1"/>
  <c r="O8" i="10"/>
  <c r="H8" i="10"/>
  <c r="I8" i="10" s="1"/>
  <c r="N4" i="10"/>
  <c r="C4" i="10"/>
  <c r="C55" i="10" s="1"/>
  <c r="X3" i="10"/>
  <c r="Y3" i="10" s="1"/>
  <c r="J9" i="10" l="1"/>
  <c r="K9" i="10" s="1"/>
  <c r="L9" i="10" s="1"/>
  <c r="N9" i="10" s="1"/>
  <c r="M9" i="10" s="1"/>
  <c r="M20" i="10"/>
  <c r="M22" i="10"/>
  <c r="M24" i="10"/>
  <c r="M26" i="10"/>
  <c r="M28" i="10"/>
  <c r="M30" i="10"/>
  <c r="M32" i="10"/>
  <c r="M34" i="10"/>
  <c r="M38" i="10"/>
  <c r="M21" i="10"/>
  <c r="M23" i="10"/>
  <c r="M25" i="10"/>
  <c r="M27" i="10"/>
  <c r="M29" i="10"/>
  <c r="M31" i="10"/>
  <c r="M33" i="10"/>
  <c r="M35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40" i="10"/>
  <c r="M39" i="10"/>
  <c r="J18" i="10"/>
  <c r="K18" i="10" s="1"/>
  <c r="L18" i="10" s="1"/>
  <c r="N18" i="10" s="1"/>
  <c r="M18" i="10" s="1"/>
  <c r="J8" i="10"/>
  <c r="K8" i="10" s="1"/>
  <c r="L8" i="10" s="1"/>
  <c r="N8" i="10" s="1"/>
  <c r="I39" i="10"/>
  <c r="O42" i="10"/>
  <c r="C62" i="10" s="1"/>
  <c r="M37" i="10"/>
  <c r="I38" i="10"/>
  <c r="M41" i="10"/>
  <c r="M36" i="10"/>
  <c r="I37" i="10"/>
  <c r="M40" i="10"/>
  <c r="I41" i="10"/>
  <c r="N42" i="10" l="1"/>
  <c r="L3" i="10" s="1"/>
  <c r="M8" i="10"/>
  <c r="M42" i="10" s="1"/>
  <c r="C56" i="10" l="1"/>
  <c r="C59" i="10" s="1"/>
  <c r="C60" i="10" s="1"/>
  <c r="P3" i="10" s="1"/>
  <c r="S3" i="10" s="1"/>
  <c r="G3" i="10"/>
  <c r="L4" i="10"/>
  <c r="C61" i="10" l="1"/>
  <c r="P2" i="10"/>
  <c r="S2" i="10" s="1"/>
  <c r="P4" i="10"/>
  <c r="S4" i="10" s="1"/>
</calcChain>
</file>

<file path=xl/sharedStrings.xml><?xml version="1.0" encoding="utf-8"?>
<sst xmlns="http://schemas.openxmlformats.org/spreadsheetml/2006/main" count="204" uniqueCount="99">
  <si>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</si>
  <si>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</si>
  <si>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</si>
  <si>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</si>
  <si>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</si>
  <si>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</si>
  <si>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</si>
  <si>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</si>
  <si>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</si>
  <si>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</si>
  <si>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</si>
  <si>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</si>
  <si>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</si>
  <si>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</si>
  <si>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</si>
  <si>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</si>
  <si>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</si>
  <si>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</si>
  <si>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</si>
  <si>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</si>
  <si>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</si>
  <si>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</si>
  <si>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</si>
  <si>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>Insurable Value / Full Value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</si>
  <si>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</si>
  <si>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</si>
  <si>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</si>
  <si>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</si>
  <si>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</si>
  <si>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</si>
  <si>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</si>
  <si>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>(Sq. M.)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</si>
  <si>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</si>
  <si>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</si>
  <si>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</si>
  <si>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</si>
  <si>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</si>
  <si>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</si>
  <si>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</si>
  <si>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</si>
  <si>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 xml:space="preserve">Sale Deed - Central India Agro Chemical </t>
  </si>
  <si>
    <t>Plot - 174</t>
  </si>
  <si>
    <t>MP119002020A1491899 Dated 19.08.2020</t>
  </si>
  <si>
    <t>Leasse Period 30 Yrs 20.05.2016 To 19.05.2016</t>
  </si>
  <si>
    <t>Address Pithampur Sectore 1 Tehsil &amp; District Dhar</t>
  </si>
  <si>
    <t>Area 3194</t>
  </si>
  <si>
    <t xml:space="preserve">North </t>
  </si>
  <si>
    <t xml:space="preserve">South </t>
  </si>
  <si>
    <t xml:space="preserve">East </t>
  </si>
  <si>
    <t>West</t>
  </si>
  <si>
    <t>Akvn Land</t>
  </si>
  <si>
    <t>Road No. 08</t>
  </si>
  <si>
    <t>Plot No. 175</t>
  </si>
  <si>
    <t>Road No. 04</t>
  </si>
  <si>
    <t>Rcc Structure</t>
  </si>
  <si>
    <t>SqM</t>
  </si>
  <si>
    <t>SqFt</t>
  </si>
  <si>
    <t>Tin Shade</t>
  </si>
  <si>
    <t>Land Area as per SqM</t>
  </si>
  <si>
    <t>Land Area as per SqFt</t>
  </si>
  <si>
    <t>Sq.M.</t>
  </si>
  <si>
    <t>Sq.Ft.</t>
  </si>
  <si>
    <t xml:space="preserve">Lease Period </t>
  </si>
  <si>
    <t xml:space="preserve">Total Life </t>
  </si>
  <si>
    <t>Balance Life</t>
  </si>
  <si>
    <t xml:space="preserve">MPIDC Guie Line </t>
  </si>
  <si>
    <t xml:space="preserve">Land </t>
  </si>
  <si>
    <t>Development</t>
  </si>
  <si>
    <t>Land Rate</t>
  </si>
  <si>
    <t xml:space="preserve">Development Rate </t>
  </si>
  <si>
    <t>Total</t>
  </si>
  <si>
    <t>Built up Area in Sq. M.</t>
  </si>
  <si>
    <t>Fact Building - Ground Floor</t>
  </si>
  <si>
    <t>Fact Building - First Floor</t>
  </si>
  <si>
    <t>Office Set</t>
  </si>
  <si>
    <t xml:space="preserve">Labor Quarters  </t>
  </si>
  <si>
    <t xml:space="preserve">Toilet Block </t>
  </si>
  <si>
    <t>Cantina And Other Room</t>
  </si>
  <si>
    <t>Security Room</t>
  </si>
  <si>
    <t>Water Tank</t>
  </si>
  <si>
    <t xml:space="preserve"> </t>
  </si>
  <si>
    <t xml:space="preserve">Shade </t>
  </si>
  <si>
    <t>BUA Area in</t>
  </si>
  <si>
    <t>Sq. M.</t>
  </si>
  <si>
    <t>Year Of Const</t>
  </si>
  <si>
    <t>Total Life of Structure considered for depreciation</t>
  </si>
  <si>
    <r>
      <t xml:space="preserve">Replacement Rate </t>
    </r>
    <r>
      <rPr>
        <sz val="10"/>
        <color theme="1"/>
        <rFont val="Arial Narrow"/>
        <family val="2"/>
      </rPr>
      <t>(`)</t>
    </r>
  </si>
  <si>
    <t>Age Of Build</t>
  </si>
  <si>
    <r>
      <t xml:space="preserve">Final Depreciated Rate </t>
    </r>
    <r>
      <rPr>
        <sz val="10"/>
        <color theme="1"/>
        <rFont val="Arial Narrow"/>
        <family val="2"/>
      </rPr>
      <t>(`)</t>
    </r>
  </si>
  <si>
    <r>
      <t xml:space="preserve">Final Depreciated Value </t>
    </r>
    <r>
      <rPr>
        <sz val="10"/>
        <color theme="1"/>
        <rFont val="Arial Narrow"/>
        <family val="2"/>
      </rPr>
      <t>(`)</t>
    </r>
  </si>
  <si>
    <t xml:space="preserve">Full Value </t>
  </si>
  <si>
    <r>
      <t>(</t>
    </r>
    <r>
      <rPr>
        <sz val="10"/>
        <color theme="1"/>
        <rFont val="Arial Narrow"/>
        <family val="2"/>
      </rPr>
      <t>`</t>
    </r>
    <r>
      <rPr>
        <b/>
        <sz val="10"/>
        <color theme="1"/>
        <rFont val="Arial Narrow"/>
        <family val="2"/>
      </rPr>
      <t>)</t>
    </r>
  </si>
  <si>
    <t>Fact Building Ground Floor</t>
  </si>
  <si>
    <t>Fact Building First Floor</t>
  </si>
  <si>
    <t xml:space="preserve">Labour Quarters  </t>
  </si>
  <si>
    <t xml:space="preserve">Shed </t>
  </si>
  <si>
    <t>Total Built-up area on Ground Floor</t>
  </si>
  <si>
    <t>Tin Shed Structure</t>
  </si>
  <si>
    <t>Net Insurable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</si>
</sst>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1" formatCode="_ * #,##0_ ;_ * \-#,##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b/>
      <sz val="11"/>
      <name val="Arial Narrow"/>
      <family val="2"/>
    </font>
    <font>
      <b/>
      <sz val="11"/>
      <color rgb="FF00B0F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12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2" fontId="1" fillId="0" borderId="0" xfId="0" applyNumberFormat="1" applyFont="1"/>
    <xf numFmtId="0" fontId="3" fillId="0" borderId="0" xfId="0" applyFont="1" applyAlignment="1">
      <alignment horizontal="center" wrapText="1"/>
    </xf>
    <xf numFmtId="0" fontId="9" fillId="0" borderId="1" xfId="0" applyFont="1" applyBorder="1" applyAlignment="1">
      <alignment horizontal="right" vertic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1" fontId="1" fillId="0" borderId="0" xfId="0" applyNumberFormat="1" applyFont="1"/>
    <xf numFmtId="1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11" fillId="0" borderId="1" xfId="0" applyNumberFormat="1" applyFont="1" applyBorder="1" applyAlignment="1">
      <alignment horizontal="right" wrapText="1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4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0" fontId="9" fillId="0" borderId="0" xfId="0" applyFont="1" applyAlignment="1">
      <alignment vertical="top"/>
    </xf>
    <xf numFmtId="0" fontId="15" fillId="0" borderId="0" xfId="0" applyFont="1" applyAlignment="1">
      <alignment horizontal="center" vertical="top"/>
    </xf>
    <xf numFmtId="0" fontId="15" fillId="0" borderId="0" xfId="0" applyFont="1"/>
    <xf numFmtId="0" fontId="15" fillId="0" borderId="0" xfId="0" applyFont="1" applyAlignment="1">
      <alignment horizontal="left" vertical="top" wrapText="1"/>
    </xf>
    <xf numFmtId="4" fontId="9" fillId="0" borderId="0" xfId="0" applyNumberFormat="1" applyFont="1"/>
    <xf numFmtId="4" fontId="15" fillId="0" borderId="0" xfId="0" applyNumberFormat="1" applyFont="1" applyAlignment="1">
      <alignment wrapText="1"/>
    </xf>
    <xf numFmtId="4" fontId="15" fillId="0" borderId="0" xfId="0" applyNumberFormat="1" applyFont="1"/>
    <xf numFmtId="2" fontId="9" fillId="0" borderId="0" xfId="0" applyNumberFormat="1" applyFont="1"/>
    <xf numFmtId="0" fontId="10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6" fillId="0" borderId="0" xfId="0" applyFont="1" applyAlignment="1">
      <alignment horizontal="right"/>
    </xf>
    <xf numFmtId="0" fontId="1" fillId="2" borderId="0" xfId="0" applyFont="1" applyFill="1" applyAlignment="1">
      <alignment vertical="top"/>
    </xf>
    <xf numFmtId="4" fontId="3" fillId="2" borderId="0" xfId="0" applyNumberFormat="1" applyFont="1" applyFill="1" applyAlignment="1">
      <alignment vertical="top"/>
    </xf>
    <xf numFmtId="4" fontId="1" fillId="2" borderId="0" xfId="0" applyNumberFormat="1" applyFont="1" applyFill="1" applyAlignment="1">
      <alignment vertical="top"/>
    </xf>
    <xf numFmtId="0" fontId="9" fillId="2" borderId="0" xfId="0" applyFont="1" applyFill="1" applyAlignment="1">
      <alignment vertical="top"/>
    </xf>
    <xf numFmtId="4" fontId="9" fillId="2" borderId="0" xfId="0" applyNumberFormat="1" applyFont="1" applyFill="1" applyAlignment="1">
      <alignment vertical="top"/>
    </xf>
    <xf numFmtId="0" fontId="0" fillId="0" borderId="1" xfId="0" applyBorder="1"/>
    <xf numFmtId="0" fontId="8" fillId="0" borderId="5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4" fontId="8" fillId="0" borderId="8" xfId="0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12" xfId="0" applyFont="1" applyBorder="1" applyAlignment="1">
      <alignment horizontal="right" vertical="center" wrapText="1"/>
    </xf>
    <xf numFmtId="0" fontId="12" fillId="0" borderId="12" xfId="0" applyFont="1" applyBorder="1" applyAlignment="1">
      <alignment horizontal="right" vertical="center" wrapText="1"/>
    </xf>
    <xf numFmtId="3" fontId="12" fillId="0" borderId="12" xfId="0" applyNumberFormat="1" applyFont="1" applyBorder="1" applyAlignment="1">
      <alignment horizontal="right" vertical="center" wrapText="1"/>
    </xf>
    <xf numFmtId="0" fontId="8" fillId="0" borderId="10" xfId="0" applyFont="1" applyBorder="1" applyAlignment="1">
      <alignment vertical="center" wrapText="1"/>
    </xf>
    <xf numFmtId="0" fontId="8" fillId="0" borderId="12" xfId="0" applyFont="1" applyBorder="1" applyAlignment="1">
      <alignment horizontal="right" vertical="center" wrapText="1"/>
    </xf>
    <xf numFmtId="0" fontId="2" fillId="0" borderId="12" xfId="0" applyFont="1" applyBorder="1" applyAlignment="1">
      <alignment vertical="center" wrapText="1"/>
    </xf>
    <xf numFmtId="3" fontId="2" fillId="0" borderId="12" xfId="0" applyNumberFormat="1" applyFont="1" applyBorder="1" applyAlignment="1">
      <alignment horizontal="right" vertical="center" wrapText="1"/>
    </xf>
    <xf numFmtId="0" fontId="8" fillId="0" borderId="4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3" fontId="12" fillId="0" borderId="13" xfId="0" applyNumberFormat="1" applyFont="1" applyBorder="1" applyAlignment="1">
      <alignment horizontal="right" vertical="center" wrapText="1"/>
    </xf>
    <xf numFmtId="3" fontId="12" fillId="0" borderId="14" xfId="0" applyNumberFormat="1" applyFont="1" applyBorder="1" applyAlignment="1">
      <alignment horizontal="righ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2" fillId="0" borderId="13" xfId="0" applyFont="1" applyBorder="1" applyAlignment="1">
      <alignment horizontal="right" vertical="center" wrapText="1"/>
    </xf>
    <xf numFmtId="0" fontId="12" fillId="0" borderId="14" xfId="0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7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171" fontId="3" fillId="0" borderId="0" xfId="1" applyNumberFormat="1" applyFont="1"/>
    <xf numFmtId="4" fontId="1" fillId="0" borderId="1" xfId="0" applyNumberFormat="1" applyFont="1" applyBorder="1" applyAlignment="1">
      <alignment vertical="top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horizontal="right" vertical="center" wrapText="1"/>
    </xf>
    <xf numFmtId="171" fontId="1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303086</xdr:colOff>
      <xdr:row>44</xdr:row>
      <xdr:rowOff>189428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14286" cy="85714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303086</xdr:colOff>
      <xdr:row>44</xdr:row>
      <xdr:rowOff>189428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14286" cy="8571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9"/>
  <sheetViews>
    <sheetView topLeftCell="A13" zoomScaleNormal="100" workbookViewId="0">
      <selection activeCell="O58" sqref="O58"/>
    </sheetView>
  </sheetViews>
  <sheetFormatPr defaultRowHeight="15" x14ac:dyDescent="0.25"/>
  <cols>
    <col min="1" max="1" width="8.85546875" customWidth="1"/>
    <col min="2" max="2" width="20.28515625" customWidth="1"/>
    <col min="3" max="3" width="13.7109375" customWidth="1"/>
    <col min="5" max="5" width="12.42578125" customWidth="1"/>
    <col min="6" max="6" width="13.140625" customWidth="1"/>
    <col min="7" max="7" width="16.7109375" customWidth="1"/>
    <col min="8" max="8" width="12.85546875" customWidth="1"/>
    <col min="9" max="9" width="12.42578125" customWidth="1"/>
    <col min="10" max="10" width="18.7109375" bestFit="1" customWidth="1"/>
    <col min="12" max="12" width="15.7109375" bestFit="1" customWidth="1"/>
    <col min="13" max="13" width="18" customWidth="1"/>
    <col min="14" max="14" width="14.42578125" customWidth="1"/>
    <col min="15" max="15" width="13.85546875" customWidth="1"/>
    <col min="16" max="16" width="14.5703125" customWidth="1"/>
  </cols>
  <sheetData>
    <row r="1" spans="1:30" ht="16.5" x14ac:dyDescent="0.3">
      <c r="A1" s="37"/>
      <c r="B1" s="13" t="s">
        <v>13</v>
      </c>
      <c r="C1" s="1"/>
      <c r="D1" s="1"/>
      <c r="E1" s="1"/>
      <c r="F1" s="7"/>
      <c r="G1" s="7"/>
      <c r="H1" s="7"/>
      <c r="I1" s="7"/>
      <c r="J1" s="1"/>
      <c r="K1" s="7" t="s">
        <v>26</v>
      </c>
      <c r="L1" s="1"/>
      <c r="M1" s="7"/>
      <c r="N1" s="7"/>
      <c r="O1" s="7" t="s">
        <v>35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6.5" x14ac:dyDescent="0.3">
      <c r="A2" s="37"/>
      <c r="B2" s="22" t="s">
        <v>11</v>
      </c>
      <c r="C2" s="64">
        <v>3194</v>
      </c>
      <c r="D2" s="1"/>
      <c r="E2" s="4"/>
      <c r="F2" s="4"/>
      <c r="G2" s="24">
        <f>C2*J2</f>
        <v>8230938</v>
      </c>
      <c r="H2" s="1"/>
      <c r="I2" s="1"/>
      <c r="J2" s="51">
        <v>2577</v>
      </c>
      <c r="K2" s="51">
        <f>J2/10.764</f>
        <v>239.40914158305463</v>
      </c>
      <c r="L2" s="120">
        <f>C2*J2</f>
        <v>8230938</v>
      </c>
      <c r="M2" s="7"/>
      <c r="N2" s="7"/>
      <c r="O2" s="60" t="s">
        <v>37</v>
      </c>
      <c r="P2" s="61">
        <f>C59</f>
        <v>34499998</v>
      </c>
      <c r="Q2" s="62"/>
      <c r="R2" s="7" t="s">
        <v>35</v>
      </c>
      <c r="S2" s="19">
        <f>P2*0.025/12</f>
        <v>71874.995833333334</v>
      </c>
      <c r="T2" s="17" t="s">
        <v>36</v>
      </c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6.5" x14ac:dyDescent="0.3">
      <c r="A3" s="37"/>
      <c r="B3" s="23" t="s">
        <v>6</v>
      </c>
      <c r="C3" s="49">
        <v>5000</v>
      </c>
      <c r="D3" s="14"/>
      <c r="E3" s="25"/>
      <c r="F3" s="25"/>
      <c r="G3" s="14">
        <f>G2+L3</f>
        <v>26760936</v>
      </c>
      <c r="H3" s="1"/>
      <c r="I3" s="1"/>
      <c r="J3" s="51"/>
      <c r="K3" s="52"/>
      <c r="L3" s="120">
        <f>N42</f>
        <v>18529998</v>
      </c>
      <c r="M3" s="7"/>
      <c r="N3" s="7"/>
      <c r="O3" s="60" t="s">
        <v>37</v>
      </c>
      <c r="P3" s="61">
        <f>C60</f>
        <v>31049998</v>
      </c>
      <c r="Q3" s="62"/>
      <c r="R3" s="7"/>
      <c r="S3" s="19">
        <f>P3*0.04/12</f>
        <v>103499.99333333333</v>
      </c>
      <c r="T3" s="63" t="s">
        <v>38</v>
      </c>
      <c r="U3" s="1"/>
      <c r="V3" s="1">
        <v>250000</v>
      </c>
      <c r="W3" s="1">
        <v>12</v>
      </c>
      <c r="X3" s="1">
        <f>V3*W3</f>
        <v>3000000</v>
      </c>
      <c r="Y3" s="1">
        <f>X3/0.04*100</f>
        <v>7500000000</v>
      </c>
      <c r="Z3" s="1"/>
      <c r="AA3" s="1"/>
      <c r="AB3" s="1"/>
      <c r="AC3" s="1"/>
      <c r="AD3" s="1"/>
    </row>
    <row r="4" spans="1:30" ht="16.5" x14ac:dyDescent="0.3">
      <c r="A4" s="37"/>
      <c r="B4" s="29" t="s">
        <v>18</v>
      </c>
      <c r="C4" s="50">
        <f>ROUND((C2*C3),0)</f>
        <v>15970000</v>
      </c>
      <c r="D4" s="1"/>
      <c r="E4" s="1"/>
      <c r="F4" s="21"/>
      <c r="G4" s="21"/>
      <c r="H4" s="7"/>
      <c r="I4" s="7"/>
      <c r="J4" s="51"/>
      <c r="K4" s="52"/>
      <c r="L4" s="120">
        <f>SUM(L2:L3)</f>
        <v>26760936</v>
      </c>
      <c r="M4" s="7">
        <v>4800</v>
      </c>
      <c r="N4" s="7">
        <f>MROUND(M4/10.764,1)</f>
        <v>446</v>
      </c>
      <c r="O4" s="60" t="s">
        <v>37</v>
      </c>
      <c r="P4" s="61">
        <f>C59</f>
        <v>34499998</v>
      </c>
      <c r="Q4" s="62"/>
      <c r="R4" s="7"/>
      <c r="S4" s="19">
        <f>P4*0.033/12</f>
        <v>94874.994500000015</v>
      </c>
      <c r="T4" s="17" t="s">
        <v>39</v>
      </c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6.5" x14ac:dyDescent="0.3">
      <c r="A5" s="37"/>
      <c r="B5" s="13" t="s">
        <v>14</v>
      </c>
      <c r="C5" s="1"/>
      <c r="D5" s="1"/>
      <c r="E5" s="1"/>
      <c r="F5" s="7"/>
      <c r="G5" s="7"/>
      <c r="H5" s="7"/>
      <c r="I5" s="7"/>
      <c r="J5" s="1"/>
      <c r="K5" s="7"/>
      <c r="L5" s="1"/>
      <c r="M5" s="7"/>
      <c r="N5" s="7"/>
      <c r="O5" s="7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90" x14ac:dyDescent="0.3">
      <c r="A6" s="38" t="s">
        <v>24</v>
      </c>
      <c r="B6" s="4" t="s">
        <v>28</v>
      </c>
      <c r="C6" s="4" t="s">
        <v>32</v>
      </c>
      <c r="D6" s="4" t="s">
        <v>0</v>
      </c>
      <c r="E6" s="4" t="s">
        <v>1</v>
      </c>
      <c r="F6" s="4" t="s">
        <v>2</v>
      </c>
      <c r="G6" s="39" t="s">
        <v>5</v>
      </c>
      <c r="H6" s="5" t="s">
        <v>30</v>
      </c>
      <c r="I6" s="5" t="s">
        <v>29</v>
      </c>
      <c r="J6" s="8" t="s">
        <v>3</v>
      </c>
      <c r="K6" s="8" t="s">
        <v>4</v>
      </c>
      <c r="L6" s="5" t="s">
        <v>16</v>
      </c>
      <c r="M6" s="40" t="s">
        <v>27</v>
      </c>
      <c r="N6" s="5" t="s">
        <v>17</v>
      </c>
      <c r="O6" s="5" t="s">
        <v>23</v>
      </c>
      <c r="P6" s="3"/>
      <c r="Q6" s="3"/>
      <c r="R6" s="3"/>
      <c r="S6" s="3"/>
      <c r="T6" s="3"/>
      <c r="U6" s="3"/>
      <c r="V6" s="3"/>
      <c r="W6" s="3"/>
      <c r="X6" s="3"/>
      <c r="Y6" s="3"/>
      <c r="Z6" s="1"/>
      <c r="AA6" s="1"/>
      <c r="AB6" s="1"/>
      <c r="AC6" s="1"/>
      <c r="AD6" s="1"/>
    </row>
    <row r="7" spans="1:30" x14ac:dyDescent="0.25">
      <c r="A7" s="38"/>
      <c r="B7" s="4"/>
      <c r="C7" s="5" t="s">
        <v>31</v>
      </c>
      <c r="D7" s="4"/>
      <c r="E7" s="4"/>
      <c r="F7" s="4"/>
      <c r="G7" s="39" t="s">
        <v>33</v>
      </c>
      <c r="H7" s="5"/>
      <c r="I7" s="5"/>
      <c r="J7" s="8"/>
      <c r="K7" s="8"/>
      <c r="L7" s="8" t="s">
        <v>34</v>
      </c>
      <c r="M7" s="8" t="s">
        <v>34</v>
      </c>
      <c r="N7" s="8" t="s">
        <v>34</v>
      </c>
      <c r="O7" s="8" t="s">
        <v>34</v>
      </c>
      <c r="P7" s="3"/>
      <c r="Q7" s="3"/>
      <c r="R7" s="3"/>
      <c r="S7" s="3"/>
      <c r="T7" s="3"/>
      <c r="U7" s="3"/>
      <c r="V7" s="3"/>
      <c r="W7" s="3"/>
      <c r="X7" s="3"/>
      <c r="Y7" s="3"/>
    </row>
    <row r="8" spans="1:30" ht="16.5" x14ac:dyDescent="0.25">
      <c r="A8" s="46"/>
      <c r="B8" s="43"/>
      <c r="C8" s="41">
        <v>275.05</v>
      </c>
      <c r="D8" s="47">
        <v>2010</v>
      </c>
      <c r="E8" s="47">
        <v>2023</v>
      </c>
      <c r="F8" s="47">
        <v>50</v>
      </c>
      <c r="G8" s="53">
        <v>13000</v>
      </c>
      <c r="H8" s="54">
        <f t="shared" ref="H8:H41" si="0">E8-D8</f>
        <v>13</v>
      </c>
      <c r="I8" s="54">
        <f t="shared" ref="I8:I41" si="1">F8-H8</f>
        <v>37</v>
      </c>
      <c r="J8" s="54">
        <f t="shared" ref="J8:J41" si="2">IF(H8&gt;=5,90*H8/F8,0)</f>
        <v>23.4</v>
      </c>
      <c r="K8" s="54">
        <f t="shared" ref="K8:K41" si="3">G8/100*J8</f>
        <v>3042</v>
      </c>
      <c r="L8" s="54">
        <f t="shared" ref="L8:L41" si="4">ROUND((G8-K8),0)</f>
        <v>9958</v>
      </c>
      <c r="M8" s="54">
        <f t="shared" ref="M8:M41" si="5">O8-N8</f>
        <v>836702</v>
      </c>
      <c r="N8" s="54">
        <f t="shared" ref="N8:N41" si="6">ROUND((L8*C8),0)</f>
        <v>2738948</v>
      </c>
      <c r="O8" s="54">
        <f t="shared" ref="O8:O41" si="7">ROUND((C8*G8),0)</f>
        <v>3575650</v>
      </c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1:30" ht="16.5" hidden="1" x14ac:dyDescent="0.25">
      <c r="A9" s="48"/>
      <c r="B9" s="43"/>
      <c r="C9" s="41">
        <v>0</v>
      </c>
      <c r="D9" s="47">
        <v>0</v>
      </c>
      <c r="E9" s="47">
        <v>0</v>
      </c>
      <c r="F9" s="47">
        <v>50</v>
      </c>
      <c r="G9" s="53">
        <v>13000</v>
      </c>
      <c r="H9" s="54">
        <f t="shared" si="0"/>
        <v>0</v>
      </c>
      <c r="I9" s="54">
        <f t="shared" si="1"/>
        <v>50</v>
      </c>
      <c r="J9" s="54">
        <f t="shared" si="2"/>
        <v>0</v>
      </c>
      <c r="K9" s="54">
        <f t="shared" si="3"/>
        <v>0</v>
      </c>
      <c r="L9" s="54">
        <f t="shared" si="4"/>
        <v>13000</v>
      </c>
      <c r="M9" s="54">
        <f t="shared" si="5"/>
        <v>0</v>
      </c>
      <c r="N9" s="54">
        <f t="shared" si="6"/>
        <v>0</v>
      </c>
      <c r="O9" s="54">
        <f t="shared" si="7"/>
        <v>0</v>
      </c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30" ht="16.5" x14ac:dyDescent="0.25">
      <c r="A10" s="46"/>
      <c r="B10" s="43"/>
      <c r="C10" s="41">
        <v>275.05</v>
      </c>
      <c r="D10" s="47">
        <v>2010</v>
      </c>
      <c r="E10" s="47">
        <v>2023</v>
      </c>
      <c r="F10" s="47">
        <v>50</v>
      </c>
      <c r="G10" s="53">
        <v>13000</v>
      </c>
      <c r="H10" s="54">
        <f t="shared" ref="H10" si="8">E10-D10</f>
        <v>13</v>
      </c>
      <c r="I10" s="54">
        <f t="shared" ref="I10" si="9">F10-H10</f>
        <v>37</v>
      </c>
      <c r="J10" s="54">
        <f t="shared" ref="J10" si="10">IF(H10&gt;=5,90*H10/F10,0)</f>
        <v>23.4</v>
      </c>
      <c r="K10" s="54">
        <f t="shared" ref="K10" si="11">G10/100*J10</f>
        <v>3042</v>
      </c>
      <c r="L10" s="54">
        <f t="shared" ref="L10" si="12">ROUND((G10-K10),0)</f>
        <v>9958</v>
      </c>
      <c r="M10" s="54">
        <f t="shared" ref="M10" si="13">O10-N10</f>
        <v>836702</v>
      </c>
      <c r="N10" s="54">
        <f t="shared" ref="N10" si="14">ROUND((L10*C10),0)</f>
        <v>2738948</v>
      </c>
      <c r="O10" s="54">
        <f t="shared" ref="O10" si="15">ROUND((C10*G10),0)</f>
        <v>3575650</v>
      </c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30" ht="16.5" x14ac:dyDescent="0.25">
      <c r="A11" s="46"/>
      <c r="B11" s="43"/>
      <c r="C11" s="41">
        <v>245.66</v>
      </c>
      <c r="D11" s="47">
        <v>2010</v>
      </c>
      <c r="E11" s="47">
        <v>2023</v>
      </c>
      <c r="F11" s="47">
        <v>50</v>
      </c>
      <c r="G11" s="53">
        <v>13000</v>
      </c>
      <c r="H11" s="54">
        <f t="shared" ref="H11" si="16">E11-D11</f>
        <v>13</v>
      </c>
      <c r="I11" s="54">
        <f t="shared" ref="I11" si="17">F11-H11</f>
        <v>37</v>
      </c>
      <c r="J11" s="54">
        <f t="shared" ref="J11" si="18">IF(H11&gt;=5,90*H11/F11,0)</f>
        <v>23.4</v>
      </c>
      <c r="K11" s="54">
        <f t="shared" ref="K11" si="19">G11/100*J11</f>
        <v>3042</v>
      </c>
      <c r="L11" s="54">
        <f t="shared" ref="L11" si="20">ROUND((G11-K11),0)</f>
        <v>9958</v>
      </c>
      <c r="M11" s="54">
        <f t="shared" ref="M11" si="21">O11-N11</f>
        <v>747298</v>
      </c>
      <c r="N11" s="54">
        <f t="shared" ref="N11" si="22">ROUND((L11*C11),0)</f>
        <v>2446282</v>
      </c>
      <c r="O11" s="54">
        <f t="shared" ref="O11" si="23">ROUND((C11*G11),0)</f>
        <v>3193580</v>
      </c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30" ht="16.5" x14ac:dyDescent="0.25">
      <c r="A12" s="46"/>
      <c r="B12" s="43"/>
      <c r="C12" s="41">
        <v>245.66</v>
      </c>
      <c r="D12" s="47">
        <v>2010</v>
      </c>
      <c r="E12" s="47">
        <v>2023</v>
      </c>
      <c r="F12" s="47">
        <v>50</v>
      </c>
      <c r="G12" s="53">
        <v>13000</v>
      </c>
      <c r="H12" s="54">
        <f t="shared" ref="H12" si="24">E12-D12</f>
        <v>13</v>
      </c>
      <c r="I12" s="54">
        <f t="shared" ref="I12" si="25">F12-H12</f>
        <v>37</v>
      </c>
      <c r="J12" s="54">
        <f t="shared" ref="J12" si="26">IF(H12&gt;=5,90*H12/F12,0)</f>
        <v>23.4</v>
      </c>
      <c r="K12" s="54">
        <f t="shared" ref="K12" si="27">G12/100*J12</f>
        <v>3042</v>
      </c>
      <c r="L12" s="54">
        <f t="shared" ref="L12" si="28">ROUND((G12-K12),0)</f>
        <v>9958</v>
      </c>
      <c r="M12" s="54">
        <f t="shared" ref="M12" si="29">O12-N12</f>
        <v>747298</v>
      </c>
      <c r="N12" s="54">
        <f t="shared" ref="N12" si="30">ROUND((L12*C12),0)</f>
        <v>2446282</v>
      </c>
      <c r="O12" s="54">
        <f t="shared" ref="O12" si="31">ROUND((C12*G12),0)</f>
        <v>3193580</v>
      </c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30" ht="16.5" x14ac:dyDescent="0.25">
      <c r="A13" s="46"/>
      <c r="B13" s="43"/>
      <c r="C13" s="41">
        <v>6.56</v>
      </c>
      <c r="D13" s="47">
        <v>2010</v>
      </c>
      <c r="E13" s="47">
        <v>2023</v>
      </c>
      <c r="F13" s="47">
        <v>50</v>
      </c>
      <c r="G13" s="53">
        <v>13000</v>
      </c>
      <c r="H13" s="54">
        <f t="shared" ref="H13:H17" si="32">E13-D13</f>
        <v>13</v>
      </c>
      <c r="I13" s="54">
        <f t="shared" ref="I13:I17" si="33">F13-H13</f>
        <v>37</v>
      </c>
      <c r="J13" s="54">
        <f t="shared" ref="J13:J17" si="34">IF(H13&gt;=5,90*H13/F13,0)</f>
        <v>23.4</v>
      </c>
      <c r="K13" s="54">
        <f t="shared" ref="K13:K17" si="35">G13/100*J13</f>
        <v>3042</v>
      </c>
      <c r="L13" s="54">
        <f t="shared" ref="L13:L17" si="36">ROUND((G13-K13),0)</f>
        <v>9958</v>
      </c>
      <c r="M13" s="54">
        <f t="shared" ref="M13:M17" si="37">O13-N13</f>
        <v>19956</v>
      </c>
      <c r="N13" s="54">
        <f t="shared" ref="N13:N17" si="38">ROUND((L13*C13),0)</f>
        <v>65324</v>
      </c>
      <c r="O13" s="54">
        <f t="shared" ref="O13:O17" si="39">ROUND((C13*G13),0)</f>
        <v>85280</v>
      </c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30" ht="16.5" x14ac:dyDescent="0.25">
      <c r="A14" s="46"/>
      <c r="B14" s="43"/>
      <c r="C14" s="41">
        <v>93.33</v>
      </c>
      <c r="D14" s="47">
        <v>2010</v>
      </c>
      <c r="E14" s="47">
        <v>2023</v>
      </c>
      <c r="F14" s="47">
        <v>50</v>
      </c>
      <c r="G14" s="53">
        <v>13000</v>
      </c>
      <c r="H14" s="54">
        <f t="shared" si="32"/>
        <v>13</v>
      </c>
      <c r="I14" s="54">
        <f t="shared" si="33"/>
        <v>37</v>
      </c>
      <c r="J14" s="54">
        <f t="shared" si="34"/>
        <v>23.4</v>
      </c>
      <c r="K14" s="54">
        <f t="shared" si="35"/>
        <v>3042</v>
      </c>
      <c r="L14" s="54">
        <f t="shared" si="36"/>
        <v>9958</v>
      </c>
      <c r="M14" s="54">
        <f t="shared" si="37"/>
        <v>283910</v>
      </c>
      <c r="N14" s="54">
        <f t="shared" si="38"/>
        <v>929380</v>
      </c>
      <c r="O14" s="54">
        <f t="shared" si="39"/>
        <v>1213290</v>
      </c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30" ht="16.5" x14ac:dyDescent="0.25">
      <c r="A15" s="46"/>
      <c r="B15" s="43"/>
      <c r="C15" s="41">
        <v>11.37</v>
      </c>
      <c r="D15" s="47">
        <v>2010</v>
      </c>
      <c r="E15" s="47">
        <v>2023</v>
      </c>
      <c r="F15" s="47">
        <v>50</v>
      </c>
      <c r="G15" s="53">
        <v>13000</v>
      </c>
      <c r="H15" s="54">
        <f t="shared" si="32"/>
        <v>13</v>
      </c>
      <c r="I15" s="54">
        <f t="shared" si="33"/>
        <v>37</v>
      </c>
      <c r="J15" s="54">
        <f t="shared" si="34"/>
        <v>23.4</v>
      </c>
      <c r="K15" s="54">
        <f t="shared" si="35"/>
        <v>3042</v>
      </c>
      <c r="L15" s="54">
        <f t="shared" si="36"/>
        <v>9958</v>
      </c>
      <c r="M15" s="54">
        <f t="shared" si="37"/>
        <v>34588</v>
      </c>
      <c r="N15" s="54">
        <f t="shared" si="38"/>
        <v>113222</v>
      </c>
      <c r="O15" s="54">
        <f t="shared" si="39"/>
        <v>147810</v>
      </c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30" ht="16.5" x14ac:dyDescent="0.25">
      <c r="A16" s="46"/>
      <c r="B16" s="43"/>
      <c r="C16" s="41">
        <v>49.4</v>
      </c>
      <c r="D16" s="47">
        <v>2010</v>
      </c>
      <c r="E16" s="47">
        <v>2023</v>
      </c>
      <c r="F16" s="47">
        <v>50</v>
      </c>
      <c r="G16" s="53">
        <v>13000</v>
      </c>
      <c r="H16" s="54">
        <f t="shared" si="32"/>
        <v>13</v>
      </c>
      <c r="I16" s="54">
        <f t="shared" si="33"/>
        <v>37</v>
      </c>
      <c r="J16" s="54">
        <f t="shared" si="34"/>
        <v>23.4</v>
      </c>
      <c r="K16" s="54">
        <f t="shared" si="35"/>
        <v>3042</v>
      </c>
      <c r="L16" s="54">
        <f t="shared" si="36"/>
        <v>9958</v>
      </c>
      <c r="M16" s="54">
        <f t="shared" si="37"/>
        <v>150275</v>
      </c>
      <c r="N16" s="54">
        <f t="shared" si="38"/>
        <v>491925</v>
      </c>
      <c r="O16" s="54">
        <f t="shared" si="39"/>
        <v>642200</v>
      </c>
      <c r="P16" s="11"/>
      <c r="Q16" s="11"/>
      <c r="R16" s="11"/>
      <c r="S16" s="11"/>
      <c r="T16" s="11"/>
      <c r="U16" s="11"/>
      <c r="V16" s="11"/>
      <c r="W16" s="11"/>
      <c r="X16" s="11"/>
      <c r="Y16" s="11"/>
    </row>
    <row r="17" spans="1:25" ht="16.5" x14ac:dyDescent="0.25">
      <c r="A17" s="46"/>
      <c r="B17" s="43"/>
      <c r="C17" s="41">
        <v>25.62</v>
      </c>
      <c r="D17" s="47">
        <v>2010</v>
      </c>
      <c r="E17" s="47">
        <v>2023</v>
      </c>
      <c r="F17" s="47">
        <v>50</v>
      </c>
      <c r="G17" s="53">
        <v>13000</v>
      </c>
      <c r="H17" s="54">
        <f t="shared" si="32"/>
        <v>13</v>
      </c>
      <c r="I17" s="54">
        <f t="shared" si="33"/>
        <v>37</v>
      </c>
      <c r="J17" s="54">
        <f t="shared" si="34"/>
        <v>23.4</v>
      </c>
      <c r="K17" s="54">
        <f t="shared" si="35"/>
        <v>3042</v>
      </c>
      <c r="L17" s="54">
        <f t="shared" si="36"/>
        <v>9958</v>
      </c>
      <c r="M17" s="54">
        <f t="shared" si="37"/>
        <v>77936</v>
      </c>
      <c r="N17" s="54">
        <f t="shared" si="38"/>
        <v>255124</v>
      </c>
      <c r="O17" s="54">
        <f t="shared" si="39"/>
        <v>333060</v>
      </c>
      <c r="P17" s="11"/>
      <c r="Q17" s="11"/>
      <c r="R17" s="11"/>
      <c r="S17" s="11"/>
      <c r="T17" s="11"/>
      <c r="U17" s="11"/>
      <c r="V17" s="11"/>
      <c r="W17" s="11"/>
      <c r="X17" s="11"/>
      <c r="Y17" s="11"/>
    </row>
    <row r="18" spans="1:25" ht="16.5" x14ac:dyDescent="0.25">
      <c r="A18" s="46">
        <v>3</v>
      </c>
      <c r="B18" s="43" t="s">
        <v>97</v>
      </c>
      <c r="C18" s="41">
        <v>823.05</v>
      </c>
      <c r="D18" s="47">
        <v>2010</v>
      </c>
      <c r="E18" s="47">
        <v>2023</v>
      </c>
      <c r="F18" s="47">
        <v>50</v>
      </c>
      <c r="G18" s="53">
        <v>10000</v>
      </c>
      <c r="H18" s="54">
        <f t="shared" si="0"/>
        <v>13</v>
      </c>
      <c r="I18" s="54">
        <f t="shared" si="1"/>
        <v>37</v>
      </c>
      <c r="J18" s="54">
        <f t="shared" si="2"/>
        <v>23.4</v>
      </c>
      <c r="K18" s="54">
        <f t="shared" si="3"/>
        <v>2340</v>
      </c>
      <c r="L18" s="54">
        <f t="shared" si="4"/>
        <v>7660</v>
      </c>
      <c r="M18" s="54">
        <f t="shared" si="5"/>
        <v>1925937</v>
      </c>
      <c r="N18" s="54">
        <f t="shared" si="6"/>
        <v>6304563</v>
      </c>
      <c r="O18" s="54">
        <f t="shared" si="7"/>
        <v>8230500</v>
      </c>
      <c r="P18" s="11"/>
      <c r="Q18" s="11"/>
      <c r="R18" s="11"/>
      <c r="S18" s="11"/>
      <c r="T18" s="11"/>
      <c r="U18" s="11"/>
      <c r="V18" s="11"/>
      <c r="W18" s="11"/>
      <c r="X18" s="11"/>
      <c r="Y18" s="11"/>
    </row>
    <row r="19" spans="1:25" ht="16.5" x14ac:dyDescent="0.25">
      <c r="A19" s="48"/>
      <c r="B19" s="43"/>
      <c r="C19" s="41"/>
      <c r="D19" s="47"/>
      <c r="E19" s="47"/>
      <c r="F19" s="47"/>
      <c r="G19" s="53"/>
      <c r="H19" s="54"/>
      <c r="I19" s="54"/>
      <c r="J19" s="54"/>
      <c r="K19" s="54"/>
      <c r="L19" s="54"/>
      <c r="M19" s="54"/>
      <c r="N19" s="54"/>
      <c r="O19" s="54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5" ht="16.5" hidden="1" x14ac:dyDescent="0.25">
      <c r="A20" s="46">
        <v>5</v>
      </c>
      <c r="B20" s="43"/>
      <c r="C20" s="41">
        <v>0</v>
      </c>
      <c r="D20" s="47">
        <v>0</v>
      </c>
      <c r="E20" s="47">
        <v>0</v>
      </c>
      <c r="F20" s="47">
        <v>60</v>
      </c>
      <c r="G20" s="53">
        <v>0</v>
      </c>
      <c r="H20" s="54">
        <f t="shared" si="0"/>
        <v>0</v>
      </c>
      <c r="I20" s="54">
        <f t="shared" si="1"/>
        <v>60</v>
      </c>
      <c r="J20" s="54">
        <f t="shared" si="2"/>
        <v>0</v>
      </c>
      <c r="K20" s="54">
        <f t="shared" si="3"/>
        <v>0</v>
      </c>
      <c r="L20" s="54">
        <f t="shared" si="4"/>
        <v>0</v>
      </c>
      <c r="M20" s="54">
        <f t="shared" si="5"/>
        <v>0</v>
      </c>
      <c r="N20" s="54">
        <f t="shared" si="6"/>
        <v>0</v>
      </c>
      <c r="O20" s="54">
        <f t="shared" si="7"/>
        <v>0</v>
      </c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5" ht="16.5" hidden="1" x14ac:dyDescent="0.3">
      <c r="A21" s="42">
        <v>6</v>
      </c>
      <c r="B21" s="43"/>
      <c r="C21" s="41">
        <v>0</v>
      </c>
      <c r="D21" s="30">
        <v>0</v>
      </c>
      <c r="E21" s="30">
        <v>0</v>
      </c>
      <c r="F21" s="30">
        <v>60</v>
      </c>
      <c r="G21" s="55">
        <v>0</v>
      </c>
      <c r="H21" s="54">
        <f t="shared" si="0"/>
        <v>0</v>
      </c>
      <c r="I21" s="54">
        <f t="shared" si="1"/>
        <v>60</v>
      </c>
      <c r="J21" s="54">
        <f t="shared" si="2"/>
        <v>0</v>
      </c>
      <c r="K21" s="54">
        <f t="shared" si="3"/>
        <v>0</v>
      </c>
      <c r="L21" s="54">
        <f t="shared" si="4"/>
        <v>0</v>
      </c>
      <c r="M21" s="56">
        <f t="shared" si="5"/>
        <v>0</v>
      </c>
      <c r="N21" s="54">
        <f t="shared" si="6"/>
        <v>0</v>
      </c>
      <c r="O21" s="54">
        <f t="shared" si="7"/>
        <v>0</v>
      </c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6.5" hidden="1" x14ac:dyDescent="0.3">
      <c r="A22" s="23">
        <v>7</v>
      </c>
      <c r="B22" s="43"/>
      <c r="C22" s="41">
        <v>0</v>
      </c>
      <c r="D22" s="30">
        <v>0</v>
      </c>
      <c r="E22" s="30">
        <v>0</v>
      </c>
      <c r="F22" s="30">
        <v>60</v>
      </c>
      <c r="G22" s="55">
        <v>0</v>
      </c>
      <c r="H22" s="54">
        <f t="shared" si="0"/>
        <v>0</v>
      </c>
      <c r="I22" s="54">
        <f t="shared" si="1"/>
        <v>60</v>
      </c>
      <c r="J22" s="54">
        <f t="shared" si="2"/>
        <v>0</v>
      </c>
      <c r="K22" s="54">
        <f t="shared" si="3"/>
        <v>0</v>
      </c>
      <c r="L22" s="54">
        <f t="shared" si="4"/>
        <v>0</v>
      </c>
      <c r="M22" s="56">
        <f t="shared" si="5"/>
        <v>0</v>
      </c>
      <c r="N22" s="54">
        <f t="shared" si="6"/>
        <v>0</v>
      </c>
      <c r="O22" s="54">
        <f t="shared" si="7"/>
        <v>0</v>
      </c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6.5" hidden="1" x14ac:dyDescent="0.3">
      <c r="A23" s="42">
        <v>8</v>
      </c>
      <c r="B23" s="43"/>
      <c r="C23" s="41">
        <v>0</v>
      </c>
      <c r="D23" s="30">
        <v>0</v>
      </c>
      <c r="E23" s="30">
        <v>0</v>
      </c>
      <c r="F23" s="30">
        <v>60</v>
      </c>
      <c r="G23" s="55">
        <v>0</v>
      </c>
      <c r="H23" s="54">
        <f t="shared" si="0"/>
        <v>0</v>
      </c>
      <c r="I23" s="54">
        <f t="shared" si="1"/>
        <v>60</v>
      </c>
      <c r="J23" s="54">
        <f t="shared" si="2"/>
        <v>0</v>
      </c>
      <c r="K23" s="54">
        <f t="shared" si="3"/>
        <v>0</v>
      </c>
      <c r="L23" s="54">
        <f t="shared" si="4"/>
        <v>0</v>
      </c>
      <c r="M23" s="56">
        <f t="shared" si="5"/>
        <v>0</v>
      </c>
      <c r="N23" s="54">
        <f t="shared" si="6"/>
        <v>0</v>
      </c>
      <c r="O23" s="54">
        <f t="shared" si="7"/>
        <v>0</v>
      </c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6.5" hidden="1" x14ac:dyDescent="0.3">
      <c r="A24" s="23">
        <v>9</v>
      </c>
      <c r="B24" s="43"/>
      <c r="C24" s="41">
        <v>0</v>
      </c>
      <c r="D24" s="30">
        <v>0</v>
      </c>
      <c r="E24" s="30">
        <v>0</v>
      </c>
      <c r="F24" s="30">
        <v>60</v>
      </c>
      <c r="G24" s="55">
        <v>0</v>
      </c>
      <c r="H24" s="54">
        <f t="shared" si="0"/>
        <v>0</v>
      </c>
      <c r="I24" s="54">
        <f t="shared" si="1"/>
        <v>60</v>
      </c>
      <c r="J24" s="54">
        <f t="shared" si="2"/>
        <v>0</v>
      </c>
      <c r="K24" s="54">
        <f t="shared" si="3"/>
        <v>0</v>
      </c>
      <c r="L24" s="54">
        <f t="shared" si="4"/>
        <v>0</v>
      </c>
      <c r="M24" s="56">
        <f t="shared" si="5"/>
        <v>0</v>
      </c>
      <c r="N24" s="54">
        <f t="shared" si="6"/>
        <v>0</v>
      </c>
      <c r="O24" s="54">
        <f t="shared" si="7"/>
        <v>0</v>
      </c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6.5" hidden="1" x14ac:dyDescent="0.3">
      <c r="A25" s="42">
        <v>10</v>
      </c>
      <c r="B25" s="43"/>
      <c r="C25" s="41">
        <v>0</v>
      </c>
      <c r="D25" s="30">
        <v>0</v>
      </c>
      <c r="E25" s="30">
        <v>0</v>
      </c>
      <c r="F25" s="30">
        <v>60</v>
      </c>
      <c r="G25" s="55">
        <v>0</v>
      </c>
      <c r="H25" s="54">
        <f t="shared" si="0"/>
        <v>0</v>
      </c>
      <c r="I25" s="54">
        <f t="shared" si="1"/>
        <v>60</v>
      </c>
      <c r="J25" s="54">
        <f t="shared" si="2"/>
        <v>0</v>
      </c>
      <c r="K25" s="54">
        <f t="shared" si="3"/>
        <v>0</v>
      </c>
      <c r="L25" s="54">
        <f t="shared" si="4"/>
        <v>0</v>
      </c>
      <c r="M25" s="56">
        <f t="shared" si="5"/>
        <v>0</v>
      </c>
      <c r="N25" s="54">
        <f t="shared" si="6"/>
        <v>0</v>
      </c>
      <c r="O25" s="54">
        <f t="shared" si="7"/>
        <v>0</v>
      </c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6.5" hidden="1" x14ac:dyDescent="0.3">
      <c r="A26" s="23">
        <v>11</v>
      </c>
      <c r="B26" s="43"/>
      <c r="C26" s="41">
        <v>0</v>
      </c>
      <c r="D26" s="30">
        <v>0</v>
      </c>
      <c r="E26" s="30">
        <v>0</v>
      </c>
      <c r="F26" s="30">
        <v>60</v>
      </c>
      <c r="G26" s="55">
        <v>0</v>
      </c>
      <c r="H26" s="54">
        <f t="shared" si="0"/>
        <v>0</v>
      </c>
      <c r="I26" s="54">
        <f t="shared" si="1"/>
        <v>60</v>
      </c>
      <c r="J26" s="54">
        <f t="shared" si="2"/>
        <v>0</v>
      </c>
      <c r="K26" s="54">
        <f t="shared" si="3"/>
        <v>0</v>
      </c>
      <c r="L26" s="54">
        <f t="shared" si="4"/>
        <v>0</v>
      </c>
      <c r="M26" s="56">
        <f t="shared" si="5"/>
        <v>0</v>
      </c>
      <c r="N26" s="54">
        <f t="shared" si="6"/>
        <v>0</v>
      </c>
      <c r="O26" s="54">
        <f t="shared" si="7"/>
        <v>0</v>
      </c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6.5" hidden="1" x14ac:dyDescent="0.3">
      <c r="A27" s="42">
        <v>12</v>
      </c>
      <c r="B27" s="43"/>
      <c r="C27" s="41">
        <v>0</v>
      </c>
      <c r="D27" s="30">
        <v>0</v>
      </c>
      <c r="E27" s="30">
        <v>0</v>
      </c>
      <c r="F27" s="30">
        <v>60</v>
      </c>
      <c r="G27" s="55">
        <v>0</v>
      </c>
      <c r="H27" s="54">
        <f t="shared" si="0"/>
        <v>0</v>
      </c>
      <c r="I27" s="54">
        <f t="shared" si="1"/>
        <v>60</v>
      </c>
      <c r="J27" s="54">
        <f t="shared" si="2"/>
        <v>0</v>
      </c>
      <c r="K27" s="54">
        <f t="shared" si="3"/>
        <v>0</v>
      </c>
      <c r="L27" s="54">
        <f t="shared" si="4"/>
        <v>0</v>
      </c>
      <c r="M27" s="56">
        <f t="shared" si="5"/>
        <v>0</v>
      </c>
      <c r="N27" s="54">
        <f t="shared" si="6"/>
        <v>0</v>
      </c>
      <c r="O27" s="54">
        <f t="shared" si="7"/>
        <v>0</v>
      </c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6.5" hidden="1" x14ac:dyDescent="0.3">
      <c r="A28" s="23">
        <v>13</v>
      </c>
      <c r="B28" s="43"/>
      <c r="C28" s="41">
        <v>0</v>
      </c>
      <c r="D28" s="30">
        <v>0</v>
      </c>
      <c r="E28" s="30">
        <v>0</v>
      </c>
      <c r="F28" s="30">
        <v>60</v>
      </c>
      <c r="G28" s="55">
        <v>0</v>
      </c>
      <c r="H28" s="54">
        <f t="shared" si="0"/>
        <v>0</v>
      </c>
      <c r="I28" s="54">
        <f t="shared" si="1"/>
        <v>60</v>
      </c>
      <c r="J28" s="54">
        <f t="shared" si="2"/>
        <v>0</v>
      </c>
      <c r="K28" s="54">
        <f t="shared" si="3"/>
        <v>0</v>
      </c>
      <c r="L28" s="54">
        <f t="shared" si="4"/>
        <v>0</v>
      </c>
      <c r="M28" s="56">
        <f t="shared" si="5"/>
        <v>0</v>
      </c>
      <c r="N28" s="54">
        <f t="shared" si="6"/>
        <v>0</v>
      </c>
      <c r="O28" s="54">
        <f t="shared" si="7"/>
        <v>0</v>
      </c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6.5" hidden="1" x14ac:dyDescent="0.3">
      <c r="A29" s="42">
        <v>14</v>
      </c>
      <c r="B29" s="43"/>
      <c r="C29" s="41">
        <v>0</v>
      </c>
      <c r="D29" s="30">
        <v>0</v>
      </c>
      <c r="E29" s="30">
        <v>0</v>
      </c>
      <c r="F29" s="30">
        <v>60</v>
      </c>
      <c r="G29" s="55">
        <v>0</v>
      </c>
      <c r="H29" s="54">
        <f t="shared" si="0"/>
        <v>0</v>
      </c>
      <c r="I29" s="54">
        <f t="shared" si="1"/>
        <v>60</v>
      </c>
      <c r="J29" s="54">
        <f t="shared" si="2"/>
        <v>0</v>
      </c>
      <c r="K29" s="54">
        <f t="shared" si="3"/>
        <v>0</v>
      </c>
      <c r="L29" s="54">
        <f t="shared" si="4"/>
        <v>0</v>
      </c>
      <c r="M29" s="56">
        <f t="shared" si="5"/>
        <v>0</v>
      </c>
      <c r="N29" s="54">
        <f t="shared" si="6"/>
        <v>0</v>
      </c>
      <c r="O29" s="54">
        <f t="shared" si="7"/>
        <v>0</v>
      </c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6.5" hidden="1" x14ac:dyDescent="0.3">
      <c r="A30" s="23">
        <v>15</v>
      </c>
      <c r="B30" s="43"/>
      <c r="C30" s="41">
        <v>0</v>
      </c>
      <c r="D30" s="30">
        <v>0</v>
      </c>
      <c r="E30" s="30">
        <v>0</v>
      </c>
      <c r="F30" s="30">
        <v>60</v>
      </c>
      <c r="G30" s="55">
        <v>0</v>
      </c>
      <c r="H30" s="54">
        <f t="shared" si="0"/>
        <v>0</v>
      </c>
      <c r="I30" s="54">
        <f t="shared" si="1"/>
        <v>60</v>
      </c>
      <c r="J30" s="54">
        <f t="shared" si="2"/>
        <v>0</v>
      </c>
      <c r="K30" s="54">
        <f t="shared" si="3"/>
        <v>0</v>
      </c>
      <c r="L30" s="54">
        <f t="shared" si="4"/>
        <v>0</v>
      </c>
      <c r="M30" s="56">
        <f t="shared" si="5"/>
        <v>0</v>
      </c>
      <c r="N30" s="54">
        <f t="shared" si="6"/>
        <v>0</v>
      </c>
      <c r="O30" s="54">
        <f t="shared" si="7"/>
        <v>0</v>
      </c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6.5" hidden="1" x14ac:dyDescent="0.3">
      <c r="A31" s="42">
        <v>16</v>
      </c>
      <c r="B31" s="43"/>
      <c r="C31" s="41">
        <v>0</v>
      </c>
      <c r="D31" s="30">
        <v>0</v>
      </c>
      <c r="E31" s="30">
        <v>0</v>
      </c>
      <c r="F31" s="30">
        <v>60</v>
      </c>
      <c r="G31" s="55">
        <v>0</v>
      </c>
      <c r="H31" s="54">
        <f t="shared" si="0"/>
        <v>0</v>
      </c>
      <c r="I31" s="54">
        <f t="shared" si="1"/>
        <v>60</v>
      </c>
      <c r="J31" s="54">
        <f t="shared" si="2"/>
        <v>0</v>
      </c>
      <c r="K31" s="54">
        <f t="shared" si="3"/>
        <v>0</v>
      </c>
      <c r="L31" s="54">
        <f t="shared" si="4"/>
        <v>0</v>
      </c>
      <c r="M31" s="56">
        <f t="shared" si="5"/>
        <v>0</v>
      </c>
      <c r="N31" s="54">
        <f t="shared" si="6"/>
        <v>0</v>
      </c>
      <c r="O31" s="54">
        <f t="shared" si="7"/>
        <v>0</v>
      </c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6.5" hidden="1" x14ac:dyDescent="0.3">
      <c r="A32" s="23">
        <v>17</v>
      </c>
      <c r="B32" s="43"/>
      <c r="C32" s="41">
        <v>0</v>
      </c>
      <c r="D32" s="30">
        <v>0</v>
      </c>
      <c r="E32" s="30">
        <v>0</v>
      </c>
      <c r="F32" s="30">
        <v>60</v>
      </c>
      <c r="G32" s="55">
        <v>0</v>
      </c>
      <c r="H32" s="54">
        <f t="shared" si="0"/>
        <v>0</v>
      </c>
      <c r="I32" s="54">
        <f t="shared" si="1"/>
        <v>60</v>
      </c>
      <c r="J32" s="54">
        <f t="shared" si="2"/>
        <v>0</v>
      </c>
      <c r="K32" s="54">
        <f t="shared" si="3"/>
        <v>0</v>
      </c>
      <c r="L32" s="54">
        <f t="shared" si="4"/>
        <v>0</v>
      </c>
      <c r="M32" s="56">
        <f t="shared" si="5"/>
        <v>0</v>
      </c>
      <c r="N32" s="54">
        <f t="shared" si="6"/>
        <v>0</v>
      </c>
      <c r="O32" s="54">
        <f t="shared" si="7"/>
        <v>0</v>
      </c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6.5" hidden="1" x14ac:dyDescent="0.3">
      <c r="A33" s="42">
        <v>18</v>
      </c>
      <c r="B33" s="43"/>
      <c r="C33" s="41">
        <v>0</v>
      </c>
      <c r="D33" s="30">
        <v>0</v>
      </c>
      <c r="E33" s="30">
        <v>0</v>
      </c>
      <c r="F33" s="30">
        <v>60</v>
      </c>
      <c r="G33" s="55">
        <v>0</v>
      </c>
      <c r="H33" s="54">
        <f t="shared" si="0"/>
        <v>0</v>
      </c>
      <c r="I33" s="54">
        <f t="shared" si="1"/>
        <v>60</v>
      </c>
      <c r="J33" s="54">
        <f t="shared" si="2"/>
        <v>0</v>
      </c>
      <c r="K33" s="54">
        <f t="shared" si="3"/>
        <v>0</v>
      </c>
      <c r="L33" s="54">
        <f t="shared" si="4"/>
        <v>0</v>
      </c>
      <c r="M33" s="56">
        <f t="shared" si="5"/>
        <v>0</v>
      </c>
      <c r="N33" s="54">
        <f t="shared" si="6"/>
        <v>0</v>
      </c>
      <c r="O33" s="54">
        <f t="shared" si="7"/>
        <v>0</v>
      </c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6.5" hidden="1" x14ac:dyDescent="0.3">
      <c r="A34" s="23">
        <v>19</v>
      </c>
      <c r="B34" s="43"/>
      <c r="C34" s="41">
        <v>0</v>
      </c>
      <c r="D34" s="30">
        <v>0</v>
      </c>
      <c r="E34" s="30">
        <v>0</v>
      </c>
      <c r="F34" s="30">
        <v>60</v>
      </c>
      <c r="G34" s="55">
        <v>0</v>
      </c>
      <c r="H34" s="54">
        <f t="shared" si="0"/>
        <v>0</v>
      </c>
      <c r="I34" s="54">
        <f t="shared" si="1"/>
        <v>60</v>
      </c>
      <c r="J34" s="54">
        <f t="shared" si="2"/>
        <v>0</v>
      </c>
      <c r="K34" s="54">
        <f t="shared" si="3"/>
        <v>0</v>
      </c>
      <c r="L34" s="54">
        <f t="shared" si="4"/>
        <v>0</v>
      </c>
      <c r="M34" s="56">
        <f t="shared" si="5"/>
        <v>0</v>
      </c>
      <c r="N34" s="54">
        <f t="shared" si="6"/>
        <v>0</v>
      </c>
      <c r="O34" s="54">
        <f t="shared" si="7"/>
        <v>0</v>
      </c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6.5" hidden="1" x14ac:dyDescent="0.3">
      <c r="A35" s="42">
        <v>20</v>
      </c>
      <c r="B35" s="43"/>
      <c r="C35" s="41">
        <v>0</v>
      </c>
      <c r="D35" s="30">
        <v>0</v>
      </c>
      <c r="E35" s="30">
        <v>0</v>
      </c>
      <c r="F35" s="30">
        <v>60</v>
      </c>
      <c r="G35" s="55">
        <v>0</v>
      </c>
      <c r="H35" s="54">
        <f t="shared" si="0"/>
        <v>0</v>
      </c>
      <c r="I35" s="54">
        <f t="shared" si="1"/>
        <v>60</v>
      </c>
      <c r="J35" s="54">
        <f t="shared" si="2"/>
        <v>0</v>
      </c>
      <c r="K35" s="54">
        <f t="shared" si="3"/>
        <v>0</v>
      </c>
      <c r="L35" s="54">
        <f t="shared" si="4"/>
        <v>0</v>
      </c>
      <c r="M35" s="56">
        <f t="shared" si="5"/>
        <v>0</v>
      </c>
      <c r="N35" s="54">
        <f t="shared" si="6"/>
        <v>0</v>
      </c>
      <c r="O35" s="54">
        <f t="shared" si="7"/>
        <v>0</v>
      </c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6.5" hidden="1" x14ac:dyDescent="0.3">
      <c r="A36" s="23">
        <v>21</v>
      </c>
      <c r="B36" s="43"/>
      <c r="C36" s="41">
        <v>0</v>
      </c>
      <c r="D36" s="30">
        <v>0</v>
      </c>
      <c r="E36" s="30">
        <v>0</v>
      </c>
      <c r="F36" s="30">
        <v>60</v>
      </c>
      <c r="G36" s="55">
        <v>0</v>
      </c>
      <c r="H36" s="54">
        <f t="shared" si="0"/>
        <v>0</v>
      </c>
      <c r="I36" s="54">
        <f t="shared" si="1"/>
        <v>60</v>
      </c>
      <c r="J36" s="54">
        <f t="shared" si="2"/>
        <v>0</v>
      </c>
      <c r="K36" s="54">
        <f t="shared" si="3"/>
        <v>0</v>
      </c>
      <c r="L36" s="54">
        <f t="shared" si="4"/>
        <v>0</v>
      </c>
      <c r="M36" s="56">
        <f t="shared" si="5"/>
        <v>0</v>
      </c>
      <c r="N36" s="54">
        <f t="shared" si="6"/>
        <v>0</v>
      </c>
      <c r="O36" s="54">
        <f t="shared" si="7"/>
        <v>0</v>
      </c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6.5" hidden="1" x14ac:dyDescent="0.3">
      <c r="A37" s="42">
        <v>22</v>
      </c>
      <c r="B37" s="43"/>
      <c r="C37" s="41">
        <v>0</v>
      </c>
      <c r="D37" s="30">
        <v>0</v>
      </c>
      <c r="E37" s="30">
        <v>0</v>
      </c>
      <c r="F37" s="30">
        <v>60</v>
      </c>
      <c r="G37" s="55">
        <v>0</v>
      </c>
      <c r="H37" s="54">
        <f t="shared" si="0"/>
        <v>0</v>
      </c>
      <c r="I37" s="54">
        <f t="shared" si="1"/>
        <v>60</v>
      </c>
      <c r="J37" s="54">
        <f t="shared" si="2"/>
        <v>0</v>
      </c>
      <c r="K37" s="54">
        <f t="shared" si="3"/>
        <v>0</v>
      </c>
      <c r="L37" s="54">
        <f t="shared" si="4"/>
        <v>0</v>
      </c>
      <c r="M37" s="56">
        <f t="shared" si="5"/>
        <v>0</v>
      </c>
      <c r="N37" s="54">
        <f t="shared" si="6"/>
        <v>0</v>
      </c>
      <c r="O37" s="54">
        <f t="shared" si="7"/>
        <v>0</v>
      </c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6.5" hidden="1" x14ac:dyDescent="0.3">
      <c r="A38" s="23">
        <v>23</v>
      </c>
      <c r="B38" s="43"/>
      <c r="C38" s="41">
        <v>0</v>
      </c>
      <c r="D38" s="30">
        <v>0</v>
      </c>
      <c r="E38" s="30">
        <v>0</v>
      </c>
      <c r="F38" s="30">
        <v>60</v>
      </c>
      <c r="G38" s="55">
        <v>0</v>
      </c>
      <c r="H38" s="54">
        <f t="shared" si="0"/>
        <v>0</v>
      </c>
      <c r="I38" s="54">
        <f t="shared" si="1"/>
        <v>60</v>
      </c>
      <c r="J38" s="54">
        <f t="shared" si="2"/>
        <v>0</v>
      </c>
      <c r="K38" s="54">
        <f t="shared" si="3"/>
        <v>0</v>
      </c>
      <c r="L38" s="54">
        <f t="shared" si="4"/>
        <v>0</v>
      </c>
      <c r="M38" s="56">
        <f t="shared" si="5"/>
        <v>0</v>
      </c>
      <c r="N38" s="54">
        <f t="shared" si="6"/>
        <v>0</v>
      </c>
      <c r="O38" s="54">
        <f t="shared" si="7"/>
        <v>0</v>
      </c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6.5" hidden="1" x14ac:dyDescent="0.3">
      <c r="A39" s="42">
        <v>24</v>
      </c>
      <c r="B39" s="43"/>
      <c r="C39" s="41">
        <v>0</v>
      </c>
      <c r="D39" s="30">
        <v>0</v>
      </c>
      <c r="E39" s="30">
        <v>0</v>
      </c>
      <c r="F39" s="30">
        <v>60</v>
      </c>
      <c r="G39" s="55">
        <v>0</v>
      </c>
      <c r="H39" s="54">
        <f t="shared" si="0"/>
        <v>0</v>
      </c>
      <c r="I39" s="54">
        <f t="shared" si="1"/>
        <v>60</v>
      </c>
      <c r="J39" s="54">
        <f t="shared" si="2"/>
        <v>0</v>
      </c>
      <c r="K39" s="54">
        <f t="shared" si="3"/>
        <v>0</v>
      </c>
      <c r="L39" s="54">
        <f t="shared" si="4"/>
        <v>0</v>
      </c>
      <c r="M39" s="56">
        <f t="shared" si="5"/>
        <v>0</v>
      </c>
      <c r="N39" s="54">
        <f t="shared" si="6"/>
        <v>0</v>
      </c>
      <c r="O39" s="54">
        <f t="shared" si="7"/>
        <v>0</v>
      </c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6.5" hidden="1" x14ac:dyDescent="0.3">
      <c r="A40" s="23">
        <v>25</v>
      </c>
      <c r="B40" s="43"/>
      <c r="C40" s="41">
        <v>0</v>
      </c>
      <c r="D40" s="30">
        <v>0</v>
      </c>
      <c r="E40" s="30">
        <v>0</v>
      </c>
      <c r="F40" s="30">
        <v>60</v>
      </c>
      <c r="G40" s="55">
        <v>0</v>
      </c>
      <c r="H40" s="54">
        <f t="shared" si="0"/>
        <v>0</v>
      </c>
      <c r="I40" s="54">
        <f t="shared" si="1"/>
        <v>60</v>
      </c>
      <c r="J40" s="54">
        <f t="shared" si="2"/>
        <v>0</v>
      </c>
      <c r="K40" s="54">
        <f t="shared" si="3"/>
        <v>0</v>
      </c>
      <c r="L40" s="54">
        <f t="shared" si="4"/>
        <v>0</v>
      </c>
      <c r="M40" s="56">
        <f t="shared" si="5"/>
        <v>0</v>
      </c>
      <c r="N40" s="54">
        <f t="shared" si="6"/>
        <v>0</v>
      </c>
      <c r="O40" s="54">
        <f t="shared" si="7"/>
        <v>0</v>
      </c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6.5" hidden="1" x14ac:dyDescent="0.3">
      <c r="A41" s="42">
        <v>26</v>
      </c>
      <c r="B41" s="43"/>
      <c r="C41" s="41">
        <v>0</v>
      </c>
      <c r="D41" s="30">
        <v>0</v>
      </c>
      <c r="E41" s="30">
        <v>0</v>
      </c>
      <c r="F41" s="30">
        <v>60</v>
      </c>
      <c r="G41" s="55">
        <v>0</v>
      </c>
      <c r="H41" s="54">
        <f t="shared" si="0"/>
        <v>0</v>
      </c>
      <c r="I41" s="54">
        <f t="shared" si="1"/>
        <v>60</v>
      </c>
      <c r="J41" s="54">
        <f t="shared" si="2"/>
        <v>0</v>
      </c>
      <c r="K41" s="54">
        <f t="shared" si="3"/>
        <v>0</v>
      </c>
      <c r="L41" s="54">
        <f t="shared" si="4"/>
        <v>0</v>
      </c>
      <c r="M41" s="56">
        <f t="shared" si="5"/>
        <v>0</v>
      </c>
      <c r="N41" s="54">
        <f t="shared" si="6"/>
        <v>0</v>
      </c>
      <c r="O41" s="54">
        <f t="shared" si="7"/>
        <v>0</v>
      </c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6.5" x14ac:dyDescent="0.3">
      <c r="A42" s="23"/>
      <c r="B42" s="44"/>
      <c r="C42" s="45"/>
      <c r="D42" s="45"/>
      <c r="E42" s="45"/>
      <c r="F42" s="6"/>
      <c r="G42" s="54"/>
      <c r="H42" s="54"/>
      <c r="I42" s="54"/>
      <c r="J42" s="57"/>
      <c r="K42" s="54"/>
      <c r="L42" s="57"/>
      <c r="M42" s="54">
        <f>SUM(M8:M41)</f>
        <v>5660602</v>
      </c>
      <c r="N42" s="54">
        <f>SUM(N8:N41)</f>
        <v>18529998</v>
      </c>
      <c r="O42" s="54">
        <f>SUM(O8:O41)</f>
        <v>24190600</v>
      </c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6.5" x14ac:dyDescent="0.3">
      <c r="A43" s="37"/>
      <c r="B43" s="10"/>
      <c r="C43" s="11"/>
      <c r="D43" s="11"/>
      <c r="E43" s="11"/>
      <c r="F43" s="12"/>
      <c r="G43" s="12"/>
      <c r="H43" s="12"/>
      <c r="I43" s="12"/>
      <c r="J43" s="11"/>
      <c r="K43" s="15"/>
      <c r="L43" s="16"/>
      <c r="M43" s="12"/>
      <c r="N43" s="26"/>
      <c r="O43" s="26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6.5" x14ac:dyDescent="0.3">
      <c r="A44" s="37"/>
      <c r="B44" s="101" t="s">
        <v>20</v>
      </c>
      <c r="C44" s="101"/>
      <c r="D44" s="11"/>
      <c r="E44" s="11"/>
      <c r="F44" s="73" t="s">
        <v>54</v>
      </c>
      <c r="G44" s="74" t="s">
        <v>55</v>
      </c>
      <c r="H44" s="74" t="s">
        <v>56</v>
      </c>
      <c r="I44" s="12"/>
      <c r="J44" s="77" t="s">
        <v>65</v>
      </c>
      <c r="K44" s="78"/>
      <c r="L44" s="79"/>
      <c r="M44" s="12"/>
      <c r="N44" s="26"/>
      <c r="O44" s="26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6.5" x14ac:dyDescent="0.3">
      <c r="A45" s="37"/>
      <c r="B45" s="22" t="s">
        <v>19</v>
      </c>
      <c r="C45" s="58">
        <v>0</v>
      </c>
      <c r="D45" s="11"/>
      <c r="E45" s="16"/>
      <c r="F45" s="12"/>
      <c r="G45" s="21">
        <v>275.05</v>
      </c>
      <c r="H45" s="65">
        <f>G45*10.764</f>
        <v>2960.6381999999999</v>
      </c>
      <c r="I45" s="65"/>
      <c r="J45" s="80" t="s">
        <v>66</v>
      </c>
      <c r="K45" s="81">
        <v>1577</v>
      </c>
      <c r="L45" s="81"/>
      <c r="M45" s="65">
        <v>15986700</v>
      </c>
      <c r="N45" s="26"/>
      <c r="O45" s="26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6.5" x14ac:dyDescent="0.3">
      <c r="A46" s="37"/>
      <c r="B46" s="23" t="s">
        <v>6</v>
      </c>
      <c r="C46" s="49">
        <v>0</v>
      </c>
      <c r="D46" s="11"/>
      <c r="E46" s="11"/>
      <c r="F46" s="12"/>
      <c r="G46" s="21">
        <v>275.05</v>
      </c>
      <c r="H46" s="65">
        <f t="shared" ref="H46:H53" si="40">G46*10.764</f>
        <v>2960.6381999999999</v>
      </c>
      <c r="I46" s="65"/>
      <c r="J46" s="80" t="s">
        <v>67</v>
      </c>
      <c r="K46" s="81">
        <v>1000</v>
      </c>
      <c r="L46" s="81"/>
      <c r="M46" s="65">
        <v>16327001</v>
      </c>
      <c r="N46" s="26"/>
      <c r="O46" s="26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6.5" x14ac:dyDescent="0.3">
      <c r="A47" s="37"/>
      <c r="B47" s="23" t="s">
        <v>7</v>
      </c>
      <c r="C47" s="56">
        <f>ROUND((C45*C46),0)</f>
        <v>0</v>
      </c>
      <c r="D47" s="11"/>
      <c r="E47" s="11"/>
      <c r="F47" s="12"/>
      <c r="G47" s="21">
        <v>245.66</v>
      </c>
      <c r="H47" s="65">
        <f t="shared" si="40"/>
        <v>2644.28424</v>
      </c>
      <c r="I47" s="65"/>
      <c r="J47" s="80" t="s">
        <v>6</v>
      </c>
      <c r="K47" s="81">
        <f>SUM(K45:K46)</f>
        <v>2577</v>
      </c>
      <c r="L47" s="81"/>
      <c r="M47" s="65">
        <v>0</v>
      </c>
      <c r="N47" s="26"/>
      <c r="O47" s="26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6.5" x14ac:dyDescent="0.3">
      <c r="A48" s="37"/>
      <c r="B48" s="10"/>
      <c r="C48" s="11"/>
      <c r="D48" s="11"/>
      <c r="E48" s="11"/>
      <c r="F48" s="12"/>
      <c r="G48" s="21">
        <v>245.66</v>
      </c>
      <c r="H48" s="65">
        <f t="shared" si="40"/>
        <v>2644.28424</v>
      </c>
      <c r="I48" s="65"/>
      <c r="J48" s="80"/>
      <c r="K48" s="81"/>
      <c r="L48" s="81"/>
      <c r="M48" s="65">
        <v>0</v>
      </c>
      <c r="N48" s="26"/>
      <c r="O48" s="26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6.5" x14ac:dyDescent="0.3">
      <c r="A49" s="37"/>
      <c r="B49" s="102" t="s">
        <v>15</v>
      </c>
      <c r="C49" s="103"/>
      <c r="D49" s="11"/>
      <c r="E49" s="11"/>
      <c r="F49" s="12"/>
      <c r="G49" s="21">
        <v>6.56</v>
      </c>
      <c r="H49" s="65">
        <f t="shared" si="40"/>
        <v>70.611839999999987</v>
      </c>
      <c r="I49" s="65"/>
      <c r="J49" s="65"/>
      <c r="K49" s="65"/>
      <c r="L49" s="65"/>
      <c r="M49" s="65">
        <v>32313701</v>
      </c>
      <c r="N49" s="12"/>
      <c r="O49" s="12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6.5" x14ac:dyDescent="0.3">
      <c r="A50" s="37"/>
      <c r="B50" s="22" t="s">
        <v>11</v>
      </c>
      <c r="C50" s="58">
        <v>0</v>
      </c>
      <c r="D50" s="1"/>
      <c r="E50" s="27"/>
      <c r="F50" s="27">
        <f>450*10.764</f>
        <v>4843.7999999999993</v>
      </c>
      <c r="G50" s="21">
        <v>93.33</v>
      </c>
      <c r="H50" s="65">
        <f t="shared" si="40"/>
        <v>1004.60412</v>
      </c>
      <c r="I50" s="66"/>
      <c r="J50" s="21"/>
      <c r="K50" s="21"/>
      <c r="L50" s="67"/>
      <c r="M50" s="21">
        <v>29082331</v>
      </c>
      <c r="O50" s="7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6.5" x14ac:dyDescent="0.3">
      <c r="A51" s="37"/>
      <c r="B51" s="23" t="s">
        <v>6</v>
      </c>
      <c r="C51" s="49">
        <v>0</v>
      </c>
      <c r="D51" s="15"/>
      <c r="E51" s="21"/>
      <c r="F51" s="21">
        <f>4900/10.764</f>
        <v>455.22110739502045</v>
      </c>
      <c r="G51" s="21">
        <v>11.37</v>
      </c>
      <c r="H51" s="65">
        <f t="shared" si="40"/>
        <v>122.38667999999998</v>
      </c>
      <c r="I51" s="66"/>
      <c r="J51" s="21"/>
      <c r="K51" s="21"/>
      <c r="L51" s="67"/>
      <c r="M51" s="21">
        <v>25850961</v>
      </c>
      <c r="O51" s="7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6.5" x14ac:dyDescent="0.3">
      <c r="A52" s="37"/>
      <c r="B52" s="23" t="s">
        <v>7</v>
      </c>
      <c r="C52" s="56">
        <f>ROUND((C50*C51),0)</f>
        <v>0</v>
      </c>
      <c r="D52" s="9"/>
      <c r="E52" s="9"/>
      <c r="F52" s="20"/>
      <c r="G52" s="21">
        <v>49.4</v>
      </c>
      <c r="H52" s="65">
        <f t="shared" si="40"/>
        <v>531.74159999999995</v>
      </c>
      <c r="I52" s="66"/>
      <c r="J52" s="66"/>
      <c r="K52" s="66"/>
      <c r="L52" s="66"/>
      <c r="M52" s="21">
        <v>20276500</v>
      </c>
      <c r="O52" s="7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6.5" x14ac:dyDescent="0.3">
      <c r="A53" s="37"/>
      <c r="B53" s="37"/>
      <c r="C53" s="18"/>
      <c r="D53" s="9"/>
      <c r="E53" s="9"/>
      <c r="F53" s="20"/>
      <c r="G53" s="21">
        <v>25.62</v>
      </c>
      <c r="H53" s="65">
        <f t="shared" si="40"/>
        <v>275.77368000000001</v>
      </c>
      <c r="I53" s="66"/>
      <c r="J53" s="21" t="s">
        <v>58</v>
      </c>
      <c r="K53" s="21"/>
      <c r="L53" s="67">
        <v>3194</v>
      </c>
      <c r="M53" s="21"/>
      <c r="O53" s="7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 x14ac:dyDescent="0.3">
      <c r="A54" s="37"/>
      <c r="B54" s="2"/>
      <c r="C54" s="9" t="s">
        <v>22</v>
      </c>
      <c r="D54" s="9"/>
      <c r="E54" s="9"/>
      <c r="F54" s="20"/>
      <c r="G54" s="67">
        <f>SUM(G45:G53)</f>
        <v>1227.6999999999998</v>
      </c>
      <c r="H54" s="68">
        <f>SUM(H45:H53)</f>
        <v>13214.962799999999</v>
      </c>
      <c r="I54" s="66"/>
      <c r="J54" s="21" t="s">
        <v>59</v>
      </c>
      <c r="K54" s="21"/>
      <c r="L54" s="67">
        <f>L53*10.764</f>
        <v>34380.216</v>
      </c>
      <c r="M54" s="21"/>
      <c r="O54" s="7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3.5" customHeight="1" x14ac:dyDescent="0.3">
      <c r="A55" s="37"/>
      <c r="B55" s="2" t="s">
        <v>13</v>
      </c>
      <c r="C55" s="50">
        <f>C4</f>
        <v>15970000</v>
      </c>
      <c r="D55" s="18"/>
      <c r="E55" s="18"/>
      <c r="F55" s="18"/>
      <c r="G55" s="69"/>
      <c r="H55" s="70">
        <v>13215</v>
      </c>
      <c r="I55" s="71"/>
      <c r="J55" s="21"/>
      <c r="K55" s="21"/>
      <c r="L55" s="69"/>
      <c r="M55" s="21"/>
      <c r="O55" s="7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6.5" x14ac:dyDescent="0.3">
      <c r="A56" s="37"/>
      <c r="B56" s="2" t="s">
        <v>14</v>
      </c>
      <c r="C56" s="50">
        <f>N42</f>
        <v>18529998</v>
      </c>
      <c r="D56" s="18"/>
      <c r="E56" s="18"/>
      <c r="F56" s="18"/>
      <c r="G56" s="69"/>
      <c r="H56" s="71"/>
      <c r="I56" s="71"/>
      <c r="J56" s="21"/>
      <c r="K56" s="21"/>
      <c r="L56" s="71"/>
      <c r="M56" s="21"/>
      <c r="O56" s="7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33" x14ac:dyDescent="0.3">
      <c r="A57" s="37"/>
      <c r="B57" s="2" t="s">
        <v>21</v>
      </c>
      <c r="C57" s="50">
        <f>C47</f>
        <v>0</v>
      </c>
      <c r="D57" s="18"/>
      <c r="E57" s="18"/>
      <c r="F57" s="18" t="s">
        <v>57</v>
      </c>
      <c r="G57" s="69">
        <v>821.05</v>
      </c>
      <c r="H57" s="71">
        <f>G57*10.764</f>
        <v>8837.7821999999996</v>
      </c>
      <c r="I57" s="71"/>
      <c r="J57" s="21"/>
      <c r="K57" s="21">
        <f>3000/10.764</f>
        <v>278.70680044593092</v>
      </c>
      <c r="L57" s="71"/>
      <c r="M57" s="21"/>
      <c r="O57" s="7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6.5" x14ac:dyDescent="0.3">
      <c r="A58" s="1"/>
      <c r="B58" s="2" t="s">
        <v>12</v>
      </c>
      <c r="C58" s="50">
        <f>C52</f>
        <v>0</v>
      </c>
      <c r="D58" s="18"/>
      <c r="E58" s="18"/>
      <c r="F58" s="18"/>
      <c r="G58" s="69"/>
      <c r="H58" s="71"/>
      <c r="I58" s="71"/>
      <c r="J58" s="21"/>
      <c r="K58" s="21"/>
      <c r="L58" s="71"/>
      <c r="M58" s="21"/>
      <c r="O58" s="7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6.5" x14ac:dyDescent="0.3">
      <c r="A59" s="1"/>
      <c r="B59" s="13" t="s">
        <v>8</v>
      </c>
      <c r="C59" s="59">
        <f>C55+C56+C57+C58</f>
        <v>34499998</v>
      </c>
      <c r="D59" s="17"/>
      <c r="E59" s="1"/>
      <c r="F59" s="17"/>
      <c r="G59" s="21"/>
      <c r="H59" s="21"/>
      <c r="I59" s="21"/>
      <c r="J59" s="21"/>
      <c r="K59" s="21"/>
      <c r="L59" s="21"/>
      <c r="M59" s="21"/>
      <c r="N59" s="7"/>
      <c r="O59" s="7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6.5" x14ac:dyDescent="0.3">
      <c r="A60" s="1"/>
      <c r="B60" s="13" t="s">
        <v>9</v>
      </c>
      <c r="C60" s="59">
        <f>MROUND(C59*90%,1)</f>
        <v>31049998</v>
      </c>
      <c r="D60" s="19"/>
      <c r="E60" s="1" t="s">
        <v>62</v>
      </c>
      <c r="F60" s="17">
        <v>2046</v>
      </c>
      <c r="G60" s="21"/>
      <c r="H60" s="72"/>
      <c r="I60" s="72"/>
      <c r="J60" s="21"/>
      <c r="K60" s="21"/>
      <c r="L60" s="21"/>
      <c r="M60" s="21"/>
      <c r="N60" s="7"/>
      <c r="O60" s="7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6.5" x14ac:dyDescent="0.3">
      <c r="A61" s="1"/>
      <c r="B61" s="13" t="s">
        <v>10</v>
      </c>
      <c r="C61" s="59">
        <f>MROUND(C59*80%,1)</f>
        <v>27599998</v>
      </c>
      <c r="D61" s="19"/>
      <c r="E61" s="1"/>
      <c r="F61" s="17">
        <v>2016</v>
      </c>
      <c r="G61" s="7"/>
      <c r="H61" s="31"/>
      <c r="I61" s="31"/>
      <c r="J61" s="1"/>
      <c r="K61" s="7"/>
      <c r="L61" s="1"/>
      <c r="M61" s="7"/>
      <c r="N61" s="7"/>
      <c r="O61" s="7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6.5" x14ac:dyDescent="0.3">
      <c r="A62" s="1"/>
      <c r="B62" s="13" t="s">
        <v>25</v>
      </c>
      <c r="C62" s="59">
        <f>O42</f>
        <v>24190600</v>
      </c>
      <c r="D62" s="28"/>
      <c r="E62" s="1" t="s">
        <v>63</v>
      </c>
      <c r="F62" s="18">
        <f>F60-F61</f>
        <v>30</v>
      </c>
      <c r="G62" s="7"/>
      <c r="H62" s="7"/>
      <c r="I62" s="7"/>
      <c r="J62" s="1"/>
      <c r="K62" s="7">
        <v>1577</v>
      </c>
      <c r="L62" s="1">
        <v>3000</v>
      </c>
      <c r="M62" s="7"/>
      <c r="N62" s="7"/>
      <c r="O62" s="32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6.5" x14ac:dyDescent="0.3">
      <c r="A63" s="1"/>
      <c r="B63" s="2"/>
      <c r="C63" s="1"/>
      <c r="D63" s="1"/>
      <c r="E63" s="1" t="s">
        <v>64</v>
      </c>
      <c r="F63" s="18">
        <f>F60-2023</f>
        <v>23</v>
      </c>
      <c r="G63" s="7"/>
      <c r="H63" s="7"/>
      <c r="I63" s="7"/>
      <c r="J63" s="1"/>
      <c r="K63" s="7">
        <v>1000</v>
      </c>
      <c r="L63" s="1">
        <f>L62/10.764</f>
        <v>278.70680044593092</v>
      </c>
      <c r="M63" s="7"/>
      <c r="N63" s="7"/>
      <c r="O63" s="32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6.5" x14ac:dyDescent="0.3">
      <c r="A64" s="1"/>
      <c r="B64" s="75" t="s">
        <v>60</v>
      </c>
      <c r="C64" s="75" t="s">
        <v>61</v>
      </c>
      <c r="D64" s="1"/>
      <c r="E64" s="1"/>
      <c r="F64" s="7"/>
      <c r="G64" s="7"/>
      <c r="H64" s="7"/>
      <c r="I64" s="7"/>
      <c r="J64" s="1"/>
      <c r="K64" s="7">
        <f>SUM(K62:K63)</f>
        <v>2577</v>
      </c>
      <c r="L64" s="1"/>
      <c r="M64" s="7"/>
      <c r="N64" s="7"/>
      <c r="O64" s="32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6.5" x14ac:dyDescent="0.3">
      <c r="A65" s="1"/>
      <c r="B65" s="75">
        <v>5000</v>
      </c>
      <c r="C65" s="76">
        <f>B65/10.76</f>
        <v>464.68401486988847</v>
      </c>
      <c r="D65" s="1"/>
      <c r="E65" s="1"/>
      <c r="F65" s="7"/>
      <c r="G65" s="7"/>
      <c r="H65" s="7"/>
      <c r="I65" s="7"/>
      <c r="J65" s="1"/>
      <c r="K65" s="7">
        <f>K64/10.764</f>
        <v>239.40914158305463</v>
      </c>
      <c r="L65" s="33"/>
      <c r="M65" s="7"/>
      <c r="N65" s="7"/>
      <c r="O65" s="32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6.5" x14ac:dyDescent="0.3">
      <c r="A66" s="1"/>
      <c r="B66" s="75" t="s">
        <v>61</v>
      </c>
      <c r="C66" s="75" t="s">
        <v>60</v>
      </c>
      <c r="D66" s="1"/>
      <c r="E66" s="1"/>
      <c r="F66" s="7"/>
      <c r="G66" s="7"/>
      <c r="H66" s="7"/>
      <c r="I66" s="7"/>
      <c r="J66" s="1"/>
      <c r="K66" s="7"/>
      <c r="L66" s="33"/>
      <c r="M66" s="7"/>
      <c r="N66" s="7"/>
      <c r="O66" s="32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7.25" thickBot="1" x14ac:dyDescent="0.35">
      <c r="A67" s="1"/>
      <c r="B67" s="75">
        <v>465</v>
      </c>
      <c r="C67" s="76">
        <f t="shared" ref="C67" si="41">B67*10.76</f>
        <v>5003.3999999999996</v>
      </c>
      <c r="D67" s="1"/>
      <c r="E67" s="1"/>
      <c r="F67" s="7"/>
      <c r="G67" s="7"/>
      <c r="H67" s="31"/>
      <c r="I67" s="31"/>
      <c r="J67" s="1"/>
      <c r="K67" s="7"/>
      <c r="L67" s="33"/>
      <c r="M67" s="7"/>
      <c r="N67" s="7"/>
      <c r="O67" s="32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7.25" thickBot="1" x14ac:dyDescent="0.35">
      <c r="A68" s="1"/>
      <c r="D68" s="1"/>
      <c r="E68" s="1"/>
      <c r="F68" s="7"/>
      <c r="G68" s="7"/>
      <c r="H68" s="7"/>
      <c r="I68" s="7"/>
      <c r="J68" s="1"/>
      <c r="K68" s="7"/>
      <c r="L68" s="33"/>
      <c r="M68" s="7"/>
      <c r="N68" s="7"/>
      <c r="O68" s="117">
        <v>1920</v>
      </c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7.25" thickBot="1" x14ac:dyDescent="0.35">
      <c r="A69" s="1"/>
      <c r="D69" s="1"/>
      <c r="E69" s="1"/>
      <c r="F69" s="7"/>
      <c r="G69" s="7"/>
      <c r="H69" s="7"/>
      <c r="I69" s="7"/>
      <c r="J69" s="1"/>
      <c r="K69" s="7"/>
      <c r="L69" s="33"/>
      <c r="M69" s="7"/>
      <c r="N69" s="7"/>
      <c r="O69" s="118">
        <v>5723</v>
      </c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7.25" thickBot="1" x14ac:dyDescent="0.35">
      <c r="A70" s="1"/>
      <c r="E70" s="1"/>
      <c r="F70" s="7"/>
      <c r="G70" s="7"/>
      <c r="H70" s="7"/>
      <c r="I70" s="7"/>
      <c r="J70" s="1"/>
      <c r="K70" s="7"/>
      <c r="L70" s="33"/>
      <c r="M70" s="7"/>
      <c r="N70" s="7"/>
      <c r="O70" s="118">
        <v>1520</v>
      </c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7.25" thickBot="1" x14ac:dyDescent="0.35">
      <c r="A71" s="1"/>
      <c r="E71" s="1"/>
      <c r="F71" s="7"/>
      <c r="G71" s="7"/>
      <c r="H71" s="7"/>
      <c r="I71" s="7"/>
      <c r="J71" s="1"/>
      <c r="K71" s="7"/>
      <c r="L71" s="33"/>
      <c r="M71" s="7"/>
      <c r="N71" s="7"/>
      <c r="O71" s="118">
        <v>1955</v>
      </c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7.25" thickBot="1" x14ac:dyDescent="0.35">
      <c r="A72" s="1"/>
      <c r="E72" s="1"/>
      <c r="F72" s="7"/>
      <c r="G72" s="7"/>
      <c r="H72" s="7"/>
      <c r="I72" s="7"/>
      <c r="J72" s="1"/>
      <c r="K72" s="7"/>
      <c r="L72" s="1"/>
      <c r="M72" s="7"/>
      <c r="N72" s="7"/>
      <c r="O72" s="118">
        <v>5400</v>
      </c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7.25" thickBot="1" x14ac:dyDescent="0.35">
      <c r="A73" s="1"/>
      <c r="E73" s="1"/>
      <c r="F73" s="7"/>
      <c r="G73" s="7"/>
      <c r="H73" s="7"/>
      <c r="I73" s="7"/>
      <c r="J73" s="1"/>
      <c r="K73" s="7"/>
      <c r="L73" s="1"/>
      <c r="M73" s="7"/>
      <c r="N73" s="7"/>
      <c r="O73" s="119">
        <v>966</v>
      </c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7.25" thickBot="1" x14ac:dyDescent="0.35">
      <c r="A74" s="1"/>
      <c r="E74" s="1"/>
      <c r="F74" s="7"/>
      <c r="G74" s="7"/>
      <c r="H74" s="7"/>
      <c r="M74" s="7"/>
      <c r="N74" s="7"/>
      <c r="O74" s="118">
        <v>8732</v>
      </c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6.5" x14ac:dyDescent="0.3">
      <c r="A75" s="1"/>
      <c r="B75" s="1"/>
      <c r="C75" s="1"/>
      <c r="D75" s="1"/>
      <c r="E75" s="1"/>
      <c r="F75" s="7"/>
      <c r="G75" s="7"/>
      <c r="H75" s="7"/>
      <c r="J75" s="82" t="s">
        <v>68</v>
      </c>
      <c r="K75" s="82">
        <v>1577</v>
      </c>
      <c r="M75" s="7"/>
      <c r="N75" s="7"/>
      <c r="O75" s="7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6.5" x14ac:dyDescent="0.3">
      <c r="A76" s="1"/>
      <c r="B76" s="1"/>
      <c r="C76" s="1"/>
      <c r="D76" s="1"/>
      <c r="E76" s="1"/>
      <c r="F76" s="7"/>
      <c r="G76" s="7"/>
      <c r="H76" s="7"/>
      <c r="J76" s="82" t="s">
        <v>69</v>
      </c>
      <c r="K76" s="82">
        <v>1000</v>
      </c>
      <c r="M76" s="7"/>
      <c r="N76" s="7"/>
      <c r="O76" s="7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6.5" x14ac:dyDescent="0.3">
      <c r="A77" s="1"/>
      <c r="B77" s="1"/>
      <c r="C77" s="1"/>
      <c r="D77" s="1"/>
      <c r="E77" s="1"/>
      <c r="F77" s="7"/>
      <c r="G77" s="7"/>
      <c r="H77" s="7"/>
      <c r="J77" s="82" t="s">
        <v>70</v>
      </c>
      <c r="K77" s="82">
        <f>SUM(K75:K76)</f>
        <v>2577</v>
      </c>
      <c r="M77" s="7"/>
      <c r="N77" s="7"/>
      <c r="O77" s="7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6.5" x14ac:dyDescent="0.3">
      <c r="A78" s="1"/>
      <c r="B78" s="1"/>
      <c r="C78" s="1"/>
      <c r="D78" s="1"/>
      <c r="E78" s="1"/>
      <c r="F78" s="7"/>
      <c r="G78" s="7"/>
      <c r="H78" s="7"/>
      <c r="M78" s="7"/>
      <c r="N78" s="7"/>
      <c r="O78" s="7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6.5" x14ac:dyDescent="0.3">
      <c r="A79" s="1"/>
      <c r="B79" s="1"/>
      <c r="C79" s="1"/>
      <c r="D79" s="1"/>
      <c r="E79" s="1"/>
      <c r="F79" s="7"/>
      <c r="G79" s="7"/>
      <c r="H79" s="7"/>
      <c r="I79" s="7"/>
      <c r="J79" s="1"/>
      <c r="K79" s="7"/>
      <c r="L79" s="1"/>
      <c r="M79" s="7"/>
      <c r="N79" s="7"/>
      <c r="O79" s="7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6.5" x14ac:dyDescent="0.3">
      <c r="A80" s="1"/>
      <c r="B80" s="1"/>
      <c r="C80" s="1"/>
      <c r="D80" s="1"/>
      <c r="E80" s="1"/>
      <c r="F80" s="7"/>
      <c r="G80" s="7"/>
      <c r="H80" s="7"/>
      <c r="I80" s="7"/>
      <c r="J80" s="1"/>
      <c r="K80" s="7"/>
      <c r="L80" s="1"/>
      <c r="M80" s="7"/>
      <c r="N80" s="7"/>
      <c r="O80" s="7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6.5" x14ac:dyDescent="0.3">
      <c r="A81" s="1"/>
      <c r="B81" s="1"/>
      <c r="C81" s="1"/>
      <c r="D81" s="1"/>
      <c r="E81" s="1"/>
      <c r="F81" s="7"/>
      <c r="G81" s="7"/>
      <c r="H81" s="7"/>
      <c r="I81" s="7"/>
      <c r="J81" s="1"/>
      <c r="K81" s="7"/>
      <c r="L81" s="1"/>
      <c r="M81" s="7"/>
      <c r="N81" s="7"/>
      <c r="O81" s="7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6.5" x14ac:dyDescent="0.3">
      <c r="A82" s="1"/>
      <c r="B82" s="1"/>
      <c r="C82" s="1"/>
      <c r="D82" s="1"/>
      <c r="E82" s="1"/>
      <c r="F82" s="7"/>
      <c r="G82" s="7"/>
      <c r="H82" s="7"/>
      <c r="I82" s="7"/>
      <c r="J82" s="1"/>
      <c r="K82" s="7"/>
      <c r="L82" s="1"/>
      <c r="M82" s="7"/>
      <c r="N82" s="7"/>
      <c r="O82" s="7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6.5" x14ac:dyDescent="0.3">
      <c r="A83" s="1"/>
      <c r="B83" s="1"/>
      <c r="C83" s="1"/>
      <c r="D83" s="1"/>
      <c r="E83" s="1"/>
      <c r="F83" s="34"/>
      <c r="G83" s="34"/>
      <c r="H83" s="34"/>
      <c r="I83" s="34"/>
      <c r="J83" s="13"/>
      <c r="K83" s="7"/>
      <c r="L83" s="1"/>
      <c r="M83" s="7"/>
      <c r="N83" s="7"/>
      <c r="O83" s="7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6.5" x14ac:dyDescent="0.3">
      <c r="A84" s="1"/>
      <c r="B84" s="1"/>
      <c r="C84" s="1"/>
      <c r="D84" s="1"/>
      <c r="E84" s="1"/>
      <c r="F84" s="32"/>
      <c r="G84" s="1"/>
      <c r="H84" s="32"/>
      <c r="I84" s="32"/>
      <c r="J84" s="1"/>
      <c r="K84" s="7"/>
      <c r="L84" s="1"/>
      <c r="M84" s="7"/>
      <c r="N84" s="7"/>
      <c r="O84" s="7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6.5" x14ac:dyDescent="0.3">
      <c r="A85" s="1"/>
      <c r="B85" s="1"/>
      <c r="C85" s="1"/>
      <c r="D85" s="1"/>
      <c r="E85" s="1"/>
      <c r="F85" s="32"/>
      <c r="G85" s="32"/>
      <c r="H85" s="35"/>
      <c r="I85" s="35"/>
      <c r="J85" s="1"/>
      <c r="K85" s="7"/>
      <c r="L85" s="1"/>
      <c r="M85" s="7"/>
      <c r="N85" s="7"/>
      <c r="O85" s="7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6.5" x14ac:dyDescent="0.3">
      <c r="A86" s="1"/>
      <c r="B86" s="1"/>
      <c r="C86" s="1"/>
      <c r="D86" s="1"/>
      <c r="E86" s="1"/>
      <c r="F86" s="32"/>
      <c r="G86" s="32"/>
      <c r="H86" s="32"/>
      <c r="I86" s="32"/>
      <c r="J86" s="1"/>
      <c r="K86" s="7"/>
      <c r="L86" s="1"/>
      <c r="M86" s="7"/>
      <c r="N86" s="7"/>
      <c r="O86" s="7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6.5" x14ac:dyDescent="0.3">
      <c r="A87" s="1"/>
      <c r="B87" s="1"/>
      <c r="C87" s="1"/>
      <c r="D87" s="1"/>
      <c r="E87" s="1"/>
      <c r="F87" s="32"/>
      <c r="G87" s="36"/>
      <c r="H87" s="32"/>
      <c r="I87" s="32"/>
      <c r="J87" s="1"/>
      <c r="K87" s="7"/>
      <c r="L87" s="1"/>
      <c r="M87" s="7"/>
      <c r="N87" s="7"/>
      <c r="O87" s="7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6.5" x14ac:dyDescent="0.3">
      <c r="A88" s="1"/>
      <c r="B88" s="1"/>
      <c r="C88" s="1"/>
      <c r="D88" s="1"/>
      <c r="E88" s="1"/>
      <c r="F88" s="32"/>
      <c r="G88" s="32"/>
      <c r="H88" s="32"/>
      <c r="I88" s="32"/>
      <c r="J88" s="1"/>
      <c r="K88" s="7"/>
      <c r="L88" s="1"/>
      <c r="M88" s="7"/>
      <c r="N88" s="7"/>
      <c r="O88" s="7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6.5" x14ac:dyDescent="0.3">
      <c r="A89" s="1"/>
      <c r="B89" s="1"/>
      <c r="C89" s="1"/>
      <c r="D89" s="1"/>
      <c r="E89" s="1"/>
      <c r="F89" s="32"/>
      <c r="G89" s="32"/>
      <c r="H89" s="32"/>
      <c r="I89" s="32"/>
      <c r="J89" s="1"/>
      <c r="K89" s="7"/>
      <c r="L89" s="1"/>
      <c r="M89" s="7"/>
      <c r="N89" s="7"/>
      <c r="O89" s="7"/>
      <c r="P89" s="1"/>
      <c r="Q89" s="1"/>
      <c r="R89" s="1"/>
      <c r="S89" s="1"/>
      <c r="T89" s="1"/>
      <c r="U89" s="1"/>
      <c r="V89" s="1"/>
      <c r="W89" s="1"/>
      <c r="X89" s="1"/>
      <c r="Y89" s="1"/>
    </row>
  </sheetData>
  <mergeCells count="2">
    <mergeCell ref="B44:C44"/>
    <mergeCell ref="B49:C4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2"/>
  <sheetViews>
    <sheetView zoomScale="85" zoomScaleNormal="85" workbookViewId="0">
      <selection activeCell="C59" sqref="C59"/>
    </sheetView>
  </sheetViews>
  <sheetFormatPr defaultRowHeight="15" x14ac:dyDescent="0.25"/>
  <cols>
    <col min="1" max="1" width="13.85546875" customWidth="1"/>
    <col min="2" max="2" width="13.140625" customWidth="1"/>
  </cols>
  <sheetData>
    <row r="1" spans="1:6" x14ac:dyDescent="0.25">
      <c r="A1" s="114" t="s">
        <v>40</v>
      </c>
      <c r="B1" s="114"/>
      <c r="C1" s="114"/>
      <c r="D1" s="114"/>
      <c r="E1" s="114"/>
      <c r="F1" s="114"/>
    </row>
    <row r="2" spans="1:6" x14ac:dyDescent="0.25">
      <c r="A2" t="s">
        <v>42</v>
      </c>
    </row>
    <row r="3" spans="1:6" x14ac:dyDescent="0.25">
      <c r="A3" t="s">
        <v>41</v>
      </c>
    </row>
    <row r="4" spans="1:6" x14ac:dyDescent="0.25">
      <c r="A4" t="s">
        <v>43</v>
      </c>
    </row>
    <row r="5" spans="1:6" x14ac:dyDescent="0.25">
      <c r="A5" t="s">
        <v>44</v>
      </c>
    </row>
    <row r="6" spans="1:6" x14ac:dyDescent="0.25">
      <c r="A6" t="s">
        <v>45</v>
      </c>
    </row>
    <row r="7" spans="1:6" x14ac:dyDescent="0.25">
      <c r="A7" t="s">
        <v>46</v>
      </c>
      <c r="B7" t="s">
        <v>50</v>
      </c>
    </row>
    <row r="8" spans="1:6" x14ac:dyDescent="0.25">
      <c r="A8" t="s">
        <v>47</v>
      </c>
      <c r="B8" t="s">
        <v>51</v>
      </c>
    </row>
    <row r="9" spans="1:6" x14ac:dyDescent="0.25">
      <c r="A9" t="s">
        <v>48</v>
      </c>
      <c r="B9" t="s">
        <v>52</v>
      </c>
    </row>
    <row r="10" spans="1:6" x14ac:dyDescent="0.25">
      <c r="A10" t="s">
        <v>49</v>
      </c>
      <c r="B10" t="s">
        <v>53</v>
      </c>
    </row>
    <row r="18" spans="1:15" ht="15.75" thickBot="1" x14ac:dyDescent="0.3"/>
    <row r="19" spans="1:15" ht="55.5" customHeight="1" thickBot="1" x14ac:dyDescent="0.3">
      <c r="A19" s="83" t="s">
        <v>28</v>
      </c>
      <c r="B19" s="84" t="s">
        <v>71</v>
      </c>
      <c r="E19" s="115" t="s">
        <v>28</v>
      </c>
      <c r="F19" s="91" t="s">
        <v>82</v>
      </c>
      <c r="G19" s="106" t="s">
        <v>84</v>
      </c>
      <c r="H19" s="106" t="s">
        <v>85</v>
      </c>
      <c r="I19" s="106" t="s">
        <v>86</v>
      </c>
      <c r="J19" s="106" t="s">
        <v>87</v>
      </c>
      <c r="K19" s="106" t="s">
        <v>88</v>
      </c>
      <c r="L19" s="106" t="s">
        <v>89</v>
      </c>
      <c r="M19" s="91" t="s">
        <v>90</v>
      </c>
    </row>
    <row r="20" spans="1:15" ht="33.75" thickBot="1" x14ac:dyDescent="0.3">
      <c r="A20" s="85" t="s">
        <v>72</v>
      </c>
      <c r="B20" s="86">
        <v>275.05</v>
      </c>
      <c r="E20" s="116"/>
      <c r="F20" s="92" t="s">
        <v>83</v>
      </c>
      <c r="G20" s="107"/>
      <c r="H20" s="107"/>
      <c r="I20" s="107"/>
      <c r="J20" s="107"/>
      <c r="K20" s="107"/>
      <c r="L20" s="107"/>
      <c r="M20" s="92" t="s">
        <v>91</v>
      </c>
    </row>
    <row r="21" spans="1:15" ht="66.75" thickBot="1" x14ac:dyDescent="0.3">
      <c r="A21" s="85" t="s">
        <v>73</v>
      </c>
      <c r="B21" s="86">
        <v>275.05</v>
      </c>
      <c r="E21" s="93" t="s">
        <v>92</v>
      </c>
      <c r="F21" s="94">
        <v>275.05</v>
      </c>
      <c r="G21" s="95">
        <v>2010</v>
      </c>
      <c r="H21" s="95">
        <v>60</v>
      </c>
      <c r="I21" s="96">
        <v>12900</v>
      </c>
      <c r="J21" s="95">
        <v>13</v>
      </c>
      <c r="K21" s="96">
        <v>10385</v>
      </c>
      <c r="L21" s="96">
        <v>3088420</v>
      </c>
      <c r="M21" s="96">
        <v>12752780</v>
      </c>
      <c r="O21" s="94">
        <v>275.05</v>
      </c>
    </row>
    <row r="22" spans="1:15" ht="50.25" thickBot="1" x14ac:dyDescent="0.3">
      <c r="A22" s="85" t="s">
        <v>72</v>
      </c>
      <c r="B22" s="86">
        <v>245.66</v>
      </c>
      <c r="E22" s="93" t="s">
        <v>93</v>
      </c>
      <c r="F22" s="94">
        <v>275.05</v>
      </c>
      <c r="G22" s="95">
        <v>2010</v>
      </c>
      <c r="H22" s="95">
        <v>60</v>
      </c>
      <c r="I22" s="96">
        <v>12900</v>
      </c>
      <c r="J22" s="95">
        <v>13</v>
      </c>
      <c r="K22" s="96">
        <v>10385</v>
      </c>
      <c r="L22" s="96">
        <v>3088420</v>
      </c>
      <c r="M22" s="96">
        <v>12752780</v>
      </c>
      <c r="O22" s="94">
        <v>275.05</v>
      </c>
    </row>
    <row r="23" spans="1:15" ht="66.75" thickBot="1" x14ac:dyDescent="0.3">
      <c r="A23" s="85" t="s">
        <v>73</v>
      </c>
      <c r="B23" s="86">
        <v>245.66</v>
      </c>
      <c r="E23" s="93" t="s">
        <v>92</v>
      </c>
      <c r="F23" s="94">
        <v>245.66</v>
      </c>
      <c r="G23" s="95">
        <v>2010</v>
      </c>
      <c r="H23" s="95">
        <v>60</v>
      </c>
      <c r="I23" s="96">
        <v>12900</v>
      </c>
      <c r="J23" s="95">
        <v>13</v>
      </c>
      <c r="K23" s="96">
        <v>10385</v>
      </c>
      <c r="L23" s="96">
        <v>3088420</v>
      </c>
      <c r="M23" s="96">
        <v>12752780</v>
      </c>
      <c r="O23" s="94">
        <v>245.66</v>
      </c>
    </row>
    <row r="24" spans="1:15" ht="50.25" thickBot="1" x14ac:dyDescent="0.3">
      <c r="A24" s="87" t="s">
        <v>74</v>
      </c>
      <c r="B24" s="86">
        <v>6.56</v>
      </c>
      <c r="E24" s="93" t="s">
        <v>93</v>
      </c>
      <c r="F24" s="94">
        <v>245.66</v>
      </c>
      <c r="G24" s="95">
        <v>2010</v>
      </c>
      <c r="H24" s="95">
        <v>60</v>
      </c>
      <c r="I24" s="96">
        <v>12900</v>
      </c>
      <c r="J24" s="95">
        <v>13</v>
      </c>
      <c r="K24" s="96">
        <v>10385</v>
      </c>
      <c r="L24" s="96">
        <v>3088420</v>
      </c>
      <c r="M24" s="96">
        <v>12752780</v>
      </c>
      <c r="O24" s="94">
        <v>245.66</v>
      </c>
    </row>
    <row r="25" spans="1:15" ht="17.25" thickBot="1" x14ac:dyDescent="0.3">
      <c r="A25" s="85" t="s">
        <v>75</v>
      </c>
      <c r="B25" s="86">
        <v>93.33</v>
      </c>
      <c r="E25" s="93" t="s">
        <v>74</v>
      </c>
      <c r="F25" s="94">
        <v>6.56</v>
      </c>
      <c r="G25" s="95">
        <v>2010</v>
      </c>
      <c r="H25" s="95">
        <v>60</v>
      </c>
      <c r="I25" s="96">
        <v>12900</v>
      </c>
      <c r="J25" s="95">
        <v>13</v>
      </c>
      <c r="K25" s="96">
        <v>10385</v>
      </c>
      <c r="L25" s="96">
        <v>3088420</v>
      </c>
      <c r="M25" s="96">
        <v>12752780</v>
      </c>
      <c r="O25" s="94">
        <v>6.56</v>
      </c>
    </row>
    <row r="26" spans="1:15" ht="33.75" thickBot="1" x14ac:dyDescent="0.3">
      <c r="A26" s="85" t="s">
        <v>76</v>
      </c>
      <c r="B26" s="86">
        <v>11.37</v>
      </c>
      <c r="E26" s="93" t="s">
        <v>94</v>
      </c>
      <c r="F26" s="94">
        <v>93.33</v>
      </c>
      <c r="G26" s="95">
        <v>2010</v>
      </c>
      <c r="H26" s="95">
        <v>60</v>
      </c>
      <c r="I26" s="96">
        <v>12900</v>
      </c>
      <c r="J26" s="95">
        <v>13</v>
      </c>
      <c r="K26" s="96">
        <v>10385</v>
      </c>
      <c r="L26" s="96">
        <v>3088420</v>
      </c>
      <c r="M26" s="96">
        <v>12752780</v>
      </c>
      <c r="O26" s="94">
        <v>93.33</v>
      </c>
    </row>
    <row r="27" spans="1:15" ht="33.75" thickBot="1" x14ac:dyDescent="0.3">
      <c r="A27" s="85" t="s">
        <v>77</v>
      </c>
      <c r="B27" s="86">
        <v>49.4</v>
      </c>
      <c r="E27" s="93" t="s">
        <v>76</v>
      </c>
      <c r="F27" s="94">
        <v>11.37</v>
      </c>
      <c r="G27" s="95">
        <v>2010</v>
      </c>
      <c r="H27" s="95">
        <v>60</v>
      </c>
      <c r="I27" s="96">
        <v>12900</v>
      </c>
      <c r="J27" s="95">
        <v>13</v>
      </c>
      <c r="K27" s="96">
        <v>10385</v>
      </c>
      <c r="L27" s="96">
        <v>3088420</v>
      </c>
      <c r="M27" s="96">
        <v>12752780</v>
      </c>
      <c r="O27" s="94">
        <v>11.37</v>
      </c>
    </row>
    <row r="28" spans="1:15" ht="50.25" thickBot="1" x14ac:dyDescent="0.3">
      <c r="A28" s="85" t="s">
        <v>78</v>
      </c>
      <c r="B28" s="86">
        <v>25.62</v>
      </c>
      <c r="E28" s="93" t="s">
        <v>77</v>
      </c>
      <c r="F28" s="94">
        <v>49.4</v>
      </c>
      <c r="G28" s="95">
        <v>2010</v>
      </c>
      <c r="H28" s="95">
        <v>60</v>
      </c>
      <c r="I28" s="96">
        <v>12900</v>
      </c>
      <c r="J28" s="95">
        <v>13</v>
      </c>
      <c r="K28" s="96">
        <v>10385</v>
      </c>
      <c r="L28" s="96">
        <v>3088420</v>
      </c>
      <c r="M28" s="96">
        <v>12752780</v>
      </c>
      <c r="O28" s="94">
        <v>49.4</v>
      </c>
    </row>
    <row r="29" spans="1:15" ht="33.75" thickBot="1" x14ac:dyDescent="0.3">
      <c r="A29" s="85" t="s">
        <v>79</v>
      </c>
      <c r="B29" s="86">
        <v>59.13</v>
      </c>
      <c r="E29" s="93" t="s">
        <v>78</v>
      </c>
      <c r="F29" s="94">
        <v>25.62</v>
      </c>
      <c r="G29" s="95">
        <v>2010</v>
      </c>
      <c r="H29" s="95">
        <v>60</v>
      </c>
      <c r="I29" s="96">
        <v>12900</v>
      </c>
      <c r="J29" s="95">
        <v>13</v>
      </c>
      <c r="K29" s="96">
        <v>10385</v>
      </c>
      <c r="L29" s="96">
        <v>3088420</v>
      </c>
      <c r="M29" s="96">
        <v>12752780</v>
      </c>
      <c r="O29" s="94">
        <v>25.62</v>
      </c>
    </row>
    <row r="30" spans="1:15" ht="17.25" thickBot="1" x14ac:dyDescent="0.3">
      <c r="A30" s="88" t="s">
        <v>80</v>
      </c>
      <c r="B30" s="89">
        <v>1286.83</v>
      </c>
      <c r="E30" s="108" t="s">
        <v>95</v>
      </c>
      <c r="F30" s="110">
        <v>821.05</v>
      </c>
      <c r="G30" s="112">
        <v>2010</v>
      </c>
      <c r="H30" s="112">
        <v>60</v>
      </c>
      <c r="I30" s="104">
        <v>5300</v>
      </c>
      <c r="J30" s="112">
        <v>13</v>
      </c>
      <c r="K30" s="104">
        <v>4267</v>
      </c>
      <c r="L30" s="104">
        <v>848093</v>
      </c>
      <c r="M30" s="104">
        <v>3503207</v>
      </c>
      <c r="O30">
        <f>SUM(O21:O29)</f>
        <v>1227.6999999999998</v>
      </c>
    </row>
    <row r="31" spans="1:15" ht="17.25" thickBot="1" x14ac:dyDescent="0.3">
      <c r="A31" s="88" t="s">
        <v>81</v>
      </c>
      <c r="B31" s="90">
        <v>823.05</v>
      </c>
      <c r="E31" s="109"/>
      <c r="F31" s="111"/>
      <c r="G31" s="113"/>
      <c r="H31" s="113"/>
      <c r="I31" s="105"/>
      <c r="J31" s="113"/>
      <c r="K31" s="105"/>
      <c r="L31" s="105"/>
      <c r="M31" s="105"/>
    </row>
    <row r="32" spans="1:15" ht="83.25" thickBot="1" x14ac:dyDescent="0.3">
      <c r="A32" s="88" t="s">
        <v>70</v>
      </c>
      <c r="B32" s="89">
        <v>2109.88</v>
      </c>
      <c r="E32" s="97" t="s">
        <v>96</v>
      </c>
      <c r="F32" s="98">
        <v>2109.88</v>
      </c>
      <c r="G32" s="99"/>
      <c r="H32" s="99"/>
      <c r="I32" s="99"/>
      <c r="J32" s="99"/>
      <c r="K32" s="99"/>
      <c r="L32" s="100">
        <v>3936513</v>
      </c>
      <c r="M32" s="100">
        <v>16255987</v>
      </c>
    </row>
  </sheetData>
  <mergeCells count="17">
    <mergeCell ref="A1:F1"/>
    <mergeCell ref="E19:E20"/>
    <mergeCell ref="G19:G20"/>
    <mergeCell ref="H19:H20"/>
    <mergeCell ref="I19:I20"/>
    <mergeCell ref="M30:M31"/>
    <mergeCell ref="J19:J20"/>
    <mergeCell ref="K19:K20"/>
    <mergeCell ref="L19:L20"/>
    <mergeCell ref="E30:E31"/>
    <mergeCell ref="F30:F31"/>
    <mergeCell ref="G30:G31"/>
    <mergeCell ref="H30:H31"/>
    <mergeCell ref="I30:I31"/>
    <mergeCell ref="J30:J31"/>
    <mergeCell ref="K30:K31"/>
    <mergeCell ref="L30:L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9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22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E1296-EB9C-4B8F-88CC-25273725D6AB}">
  <dimension ref="A1:AD62"/>
  <sheetViews>
    <sheetView tabSelected="1" topLeftCell="A22" workbookViewId="0">
      <selection activeCell="C36" sqref="C36"/>
    </sheetView>
  </sheetViews>
  <sheetFormatPr defaultRowHeight="15" x14ac:dyDescent="0.25"/>
  <cols>
    <col min="1" max="1" width="8.85546875" customWidth="1"/>
    <col min="2" max="2" width="20.28515625" customWidth="1"/>
    <col min="3" max="3" width="13.7109375" customWidth="1"/>
    <col min="5" max="5" width="12.42578125" customWidth="1"/>
    <col min="6" max="6" width="13.140625" customWidth="1"/>
    <col min="7" max="7" width="16.7109375" customWidth="1"/>
    <col min="8" max="8" width="12.85546875" customWidth="1"/>
    <col min="9" max="9" width="12.42578125" customWidth="1"/>
    <col min="10" max="10" width="18.7109375" bestFit="1" customWidth="1"/>
    <col min="12" max="12" width="15.7109375" bestFit="1" customWidth="1"/>
    <col min="13" max="13" width="18" customWidth="1"/>
    <col min="14" max="14" width="14.42578125" customWidth="1"/>
    <col min="15" max="15" width="13.85546875" customWidth="1"/>
    <col min="16" max="16" width="14.5703125" customWidth="1"/>
  </cols>
  <sheetData>
    <row r="1" spans="1:30" ht="16.5" x14ac:dyDescent="0.3">
      <c r="A1" s="37"/>
      <c r="B1" s="13" t="s">
        <v>13</v>
      </c>
      <c r="C1" s="1"/>
      <c r="D1" s="1"/>
      <c r="E1" s="1"/>
      <c r="F1" s="7"/>
      <c r="G1" s="7"/>
      <c r="H1" s="7"/>
      <c r="I1" s="7"/>
      <c r="J1" s="1"/>
      <c r="K1" s="7" t="s">
        <v>26</v>
      </c>
      <c r="L1" s="1"/>
      <c r="M1" s="7"/>
      <c r="N1" s="7"/>
      <c r="O1" s="7" t="s">
        <v>35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6.5" x14ac:dyDescent="0.3">
      <c r="A2" s="37"/>
      <c r="B2" s="22" t="s">
        <v>11</v>
      </c>
      <c r="C2" s="64">
        <v>3194</v>
      </c>
      <c r="D2" s="1"/>
      <c r="E2" s="4"/>
      <c r="F2" s="4"/>
      <c r="G2" s="24">
        <f>C2*J2</f>
        <v>8230938</v>
      </c>
      <c r="H2" s="1"/>
      <c r="I2" s="1"/>
      <c r="J2" s="51">
        <v>2577</v>
      </c>
      <c r="K2" s="51">
        <f>J2/10.764</f>
        <v>239.40914158305463</v>
      </c>
      <c r="L2" s="120">
        <f>C2*J2</f>
        <v>8230938</v>
      </c>
      <c r="M2" s="7"/>
      <c r="N2" s="7"/>
      <c r="O2" s="60" t="s">
        <v>37</v>
      </c>
      <c r="P2" s="61">
        <f>C32</f>
        <v>32823569</v>
      </c>
      <c r="Q2" s="62"/>
      <c r="R2" s="7" t="s">
        <v>35</v>
      </c>
      <c r="S2" s="19">
        <f>P2*0.025/12</f>
        <v>68382.435416666674</v>
      </c>
      <c r="T2" s="17" t="s">
        <v>36</v>
      </c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6.5" x14ac:dyDescent="0.3">
      <c r="A3" s="37"/>
      <c r="B3" s="23" t="s">
        <v>6</v>
      </c>
      <c r="C3" s="49">
        <v>5000</v>
      </c>
      <c r="D3" s="14"/>
      <c r="E3" s="25"/>
      <c r="F3" s="25"/>
      <c r="G3" s="14">
        <f>G2+L3</f>
        <v>25084507</v>
      </c>
      <c r="H3" s="1"/>
      <c r="I3" s="1"/>
      <c r="J3" s="51"/>
      <c r="K3" s="52"/>
      <c r="L3" s="120">
        <f>N15</f>
        <v>16853569</v>
      </c>
      <c r="M3" s="7"/>
      <c r="N3" s="7"/>
      <c r="O3" s="60" t="s">
        <v>37</v>
      </c>
      <c r="P3" s="61">
        <f>C33</f>
        <v>29541212</v>
      </c>
      <c r="Q3" s="62"/>
      <c r="R3" s="7"/>
      <c r="S3" s="19">
        <f>P3*0.04/12</f>
        <v>98470.706666666665</v>
      </c>
      <c r="T3" s="63" t="s">
        <v>38</v>
      </c>
      <c r="U3" s="1"/>
      <c r="V3" s="1">
        <v>250000</v>
      </c>
      <c r="W3" s="1">
        <v>12</v>
      </c>
      <c r="X3" s="1">
        <f>V3*W3</f>
        <v>3000000</v>
      </c>
      <c r="Y3" s="1">
        <f>X3/0.04*100</f>
        <v>7500000000</v>
      </c>
      <c r="Z3" s="1"/>
      <c r="AA3" s="1"/>
      <c r="AB3" s="1"/>
      <c r="AC3" s="1"/>
      <c r="AD3" s="1"/>
    </row>
    <row r="4" spans="1:30" ht="16.5" x14ac:dyDescent="0.3">
      <c r="A4" s="37"/>
      <c r="B4" s="29" t="s">
        <v>18</v>
      </c>
      <c r="C4" s="50">
        <f>ROUND((C2*C3),0)</f>
        <v>15970000</v>
      </c>
      <c r="D4" s="1"/>
      <c r="E4" s="1"/>
      <c r="F4" s="21"/>
      <c r="G4" s="21"/>
      <c r="H4" s="7"/>
      <c r="I4" s="7"/>
      <c r="J4" s="51"/>
      <c r="K4" s="52"/>
      <c r="L4" s="120">
        <f>SUM(L2:L3)</f>
        <v>25084507</v>
      </c>
      <c r="M4" s="7">
        <v>4800</v>
      </c>
      <c r="N4" s="7">
        <f>MROUND(M4/10.764,1)</f>
        <v>446</v>
      </c>
      <c r="O4" s="60" t="s">
        <v>37</v>
      </c>
      <c r="P4" s="61">
        <f>C32</f>
        <v>32823569</v>
      </c>
      <c r="Q4" s="62"/>
      <c r="R4" s="7"/>
      <c r="S4" s="19">
        <f>P4*0.033/12</f>
        <v>90264.814750000005</v>
      </c>
      <c r="T4" s="17" t="s">
        <v>39</v>
      </c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6.5" x14ac:dyDescent="0.3">
      <c r="A5" s="37"/>
      <c r="B5" s="13" t="s">
        <v>14</v>
      </c>
      <c r="C5" s="1"/>
      <c r="D5" s="1"/>
      <c r="E5" s="1"/>
      <c r="F5" s="7"/>
      <c r="G5" s="7"/>
      <c r="H5" s="7"/>
      <c r="I5" s="7"/>
      <c r="J5" s="1"/>
      <c r="K5" s="7"/>
      <c r="L5" s="1"/>
      <c r="M5" s="7"/>
      <c r="N5" s="7"/>
      <c r="O5" s="7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45" x14ac:dyDescent="0.3">
      <c r="A6" s="38" t="s">
        <v>24</v>
      </c>
      <c r="B6" s="4" t="s">
        <v>28</v>
      </c>
      <c r="C6" s="4" t="s">
        <v>32</v>
      </c>
      <c r="D6" s="4" t="s">
        <v>0</v>
      </c>
      <c r="E6" s="4" t="s">
        <v>1</v>
      </c>
      <c r="F6" s="4" t="s">
        <v>2</v>
      </c>
      <c r="G6" s="39" t="s">
        <v>5</v>
      </c>
      <c r="H6" s="5" t="s">
        <v>30</v>
      </c>
      <c r="I6" s="5" t="s">
        <v>29</v>
      </c>
      <c r="J6" s="8" t="s">
        <v>3</v>
      </c>
      <c r="K6" s="8" t="s">
        <v>4</v>
      </c>
      <c r="L6" s="5" t="s">
        <v>16</v>
      </c>
      <c r="M6" s="40" t="s">
        <v>27</v>
      </c>
      <c r="N6" s="5" t="s">
        <v>17</v>
      </c>
      <c r="O6" s="5" t="s">
        <v>23</v>
      </c>
      <c r="P6" s="3"/>
      <c r="Q6" s="3"/>
      <c r="R6" s="3"/>
      <c r="S6" s="3"/>
      <c r="T6" s="3"/>
      <c r="U6" s="3"/>
      <c r="V6" s="3"/>
      <c r="W6" s="3"/>
      <c r="X6" s="3"/>
      <c r="Y6" s="3"/>
      <c r="Z6" s="1"/>
      <c r="AA6" s="1"/>
      <c r="AB6" s="1"/>
      <c r="AC6" s="1"/>
      <c r="AD6" s="1"/>
    </row>
    <row r="7" spans="1:30" ht="15.75" thickBot="1" x14ac:dyDescent="0.3">
      <c r="A7" s="38"/>
      <c r="B7" s="4"/>
      <c r="C7" s="5" t="s">
        <v>31</v>
      </c>
      <c r="D7" s="4"/>
      <c r="E7" s="4"/>
      <c r="F7" s="4"/>
      <c r="G7" s="39" t="s">
        <v>33</v>
      </c>
      <c r="H7" s="5"/>
      <c r="I7" s="5"/>
      <c r="J7" s="8"/>
      <c r="K7" s="8"/>
      <c r="L7" s="8" t="s">
        <v>34</v>
      </c>
      <c r="M7" s="8" t="s">
        <v>34</v>
      </c>
      <c r="N7" s="8" t="s">
        <v>34</v>
      </c>
      <c r="O7" s="8" t="s">
        <v>34</v>
      </c>
      <c r="P7" s="3"/>
      <c r="Q7" s="3"/>
      <c r="R7" s="3"/>
      <c r="S7" s="3"/>
      <c r="T7" s="3"/>
      <c r="U7" s="3"/>
      <c r="V7" s="3"/>
      <c r="W7" s="3"/>
      <c r="X7" s="3"/>
      <c r="Y7" s="3"/>
    </row>
    <row r="8" spans="1:30" ht="33.75" thickBot="1" x14ac:dyDescent="0.3">
      <c r="A8" s="46"/>
      <c r="B8" s="122" t="s">
        <v>72</v>
      </c>
      <c r="C8" s="123">
        <v>275.05</v>
      </c>
      <c r="D8" s="47">
        <v>2010</v>
      </c>
      <c r="E8" s="47">
        <v>2023</v>
      </c>
      <c r="F8" s="47">
        <v>50</v>
      </c>
      <c r="G8" s="53">
        <v>13000</v>
      </c>
      <c r="H8" s="54">
        <f t="shared" ref="H8:H14" si="0">E8-D8</f>
        <v>13</v>
      </c>
      <c r="I8" s="54">
        <f t="shared" ref="I8:I14" si="1">F8-H8</f>
        <v>37</v>
      </c>
      <c r="J8" s="54">
        <f t="shared" ref="J8:J14" si="2">IF(H8&gt;=5,90*H8/F8,0)</f>
        <v>23.4</v>
      </c>
      <c r="K8" s="54">
        <f t="shared" ref="K8:K14" si="3">G8/100*J8</f>
        <v>3042</v>
      </c>
      <c r="L8" s="54">
        <f t="shared" ref="L8:L14" si="4">ROUND((G8-K8),0)</f>
        <v>9958</v>
      </c>
      <c r="M8" s="54">
        <f t="shared" ref="M8:M14" si="5">O8-N8</f>
        <v>836702</v>
      </c>
      <c r="N8" s="54">
        <f t="shared" ref="N8:N14" si="6">ROUND((L8*C8),0)</f>
        <v>2738948</v>
      </c>
      <c r="O8" s="54">
        <f t="shared" ref="O8:O14" si="7">ROUND((C8*G8),0)</f>
        <v>3575650</v>
      </c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1:30" ht="16.5" customHeight="1" thickBot="1" x14ac:dyDescent="0.3">
      <c r="A9" s="48"/>
      <c r="B9" s="85" t="s">
        <v>73</v>
      </c>
      <c r="C9" s="86">
        <v>275.05</v>
      </c>
      <c r="D9" s="47">
        <v>2010</v>
      </c>
      <c r="E9" s="47">
        <v>2023</v>
      </c>
      <c r="F9" s="47">
        <v>50</v>
      </c>
      <c r="G9" s="53">
        <v>13000</v>
      </c>
      <c r="H9" s="54">
        <f t="shared" si="0"/>
        <v>13</v>
      </c>
      <c r="I9" s="54">
        <f t="shared" si="1"/>
        <v>37</v>
      </c>
      <c r="J9" s="54">
        <f t="shared" si="2"/>
        <v>23.4</v>
      </c>
      <c r="K9" s="54">
        <f t="shared" si="3"/>
        <v>3042</v>
      </c>
      <c r="L9" s="54">
        <f t="shared" si="4"/>
        <v>9958</v>
      </c>
      <c r="M9" s="54">
        <f t="shared" si="5"/>
        <v>836702</v>
      </c>
      <c r="N9" s="54">
        <f t="shared" si="6"/>
        <v>2738948</v>
      </c>
      <c r="O9" s="54">
        <f t="shared" si="7"/>
        <v>3575650</v>
      </c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30" ht="33.75" thickBot="1" x14ac:dyDescent="0.3">
      <c r="A10" s="46"/>
      <c r="B10" s="85" t="s">
        <v>72</v>
      </c>
      <c r="C10" s="86">
        <v>245.66</v>
      </c>
      <c r="D10" s="47">
        <v>2010</v>
      </c>
      <c r="E10" s="47">
        <v>2023</v>
      </c>
      <c r="F10" s="47">
        <v>50</v>
      </c>
      <c r="G10" s="53">
        <v>13000</v>
      </c>
      <c r="H10" s="54">
        <f t="shared" si="0"/>
        <v>13</v>
      </c>
      <c r="I10" s="54">
        <f t="shared" si="1"/>
        <v>37</v>
      </c>
      <c r="J10" s="54">
        <f t="shared" si="2"/>
        <v>23.4</v>
      </c>
      <c r="K10" s="54">
        <f t="shared" si="3"/>
        <v>3042</v>
      </c>
      <c r="L10" s="54">
        <f t="shared" si="4"/>
        <v>9958</v>
      </c>
      <c r="M10" s="54">
        <f t="shared" si="5"/>
        <v>747298</v>
      </c>
      <c r="N10" s="54">
        <f t="shared" si="6"/>
        <v>2446282</v>
      </c>
      <c r="O10" s="54">
        <f t="shared" si="7"/>
        <v>3193580</v>
      </c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30" ht="33.75" thickBot="1" x14ac:dyDescent="0.3">
      <c r="A11" s="46"/>
      <c r="B11" s="85" t="s">
        <v>73</v>
      </c>
      <c r="C11" s="86">
        <v>245.66</v>
      </c>
      <c r="D11" s="47">
        <v>2010</v>
      </c>
      <c r="E11" s="47">
        <v>2023</v>
      </c>
      <c r="F11" s="47">
        <v>50</v>
      </c>
      <c r="G11" s="53">
        <v>13000</v>
      </c>
      <c r="H11" s="54">
        <f t="shared" si="0"/>
        <v>13</v>
      </c>
      <c r="I11" s="54">
        <f t="shared" si="1"/>
        <v>37</v>
      </c>
      <c r="J11" s="54">
        <f t="shared" si="2"/>
        <v>23.4</v>
      </c>
      <c r="K11" s="54">
        <f t="shared" si="3"/>
        <v>3042</v>
      </c>
      <c r="L11" s="54">
        <f t="shared" si="4"/>
        <v>9958</v>
      </c>
      <c r="M11" s="54">
        <f t="shared" si="5"/>
        <v>747298</v>
      </c>
      <c r="N11" s="54">
        <f t="shared" si="6"/>
        <v>2446282</v>
      </c>
      <c r="O11" s="54">
        <f t="shared" si="7"/>
        <v>3193580</v>
      </c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30" ht="17.25" thickBot="1" x14ac:dyDescent="0.3">
      <c r="A12" s="46"/>
      <c r="B12" s="87" t="s">
        <v>74</v>
      </c>
      <c r="C12" s="86">
        <v>6.56</v>
      </c>
      <c r="D12" s="47">
        <v>2010</v>
      </c>
      <c r="E12" s="47">
        <v>2023</v>
      </c>
      <c r="F12" s="47">
        <v>50</v>
      </c>
      <c r="G12" s="53">
        <v>13000</v>
      </c>
      <c r="H12" s="54">
        <f t="shared" si="0"/>
        <v>13</v>
      </c>
      <c r="I12" s="54">
        <f t="shared" si="1"/>
        <v>37</v>
      </c>
      <c r="J12" s="54">
        <f t="shared" si="2"/>
        <v>23.4</v>
      </c>
      <c r="K12" s="54">
        <f t="shared" si="3"/>
        <v>3042</v>
      </c>
      <c r="L12" s="54">
        <f t="shared" si="4"/>
        <v>9958</v>
      </c>
      <c r="M12" s="54">
        <f t="shared" si="5"/>
        <v>19956</v>
      </c>
      <c r="N12" s="54">
        <f t="shared" si="6"/>
        <v>65324</v>
      </c>
      <c r="O12" s="54">
        <f t="shared" si="7"/>
        <v>85280</v>
      </c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30" ht="17.25" thickBot="1" x14ac:dyDescent="0.3">
      <c r="A13" s="46"/>
      <c r="B13" s="85" t="s">
        <v>76</v>
      </c>
      <c r="C13" s="86">
        <v>11.37</v>
      </c>
      <c r="D13" s="47">
        <v>2010</v>
      </c>
      <c r="E13" s="47">
        <v>2023</v>
      </c>
      <c r="F13" s="47">
        <v>50</v>
      </c>
      <c r="G13" s="53">
        <v>13000</v>
      </c>
      <c r="H13" s="54">
        <f t="shared" si="0"/>
        <v>13</v>
      </c>
      <c r="I13" s="54">
        <f t="shared" si="1"/>
        <v>37</v>
      </c>
      <c r="J13" s="54">
        <f t="shared" si="2"/>
        <v>23.4</v>
      </c>
      <c r="K13" s="54">
        <f t="shared" si="3"/>
        <v>3042</v>
      </c>
      <c r="L13" s="54">
        <f t="shared" si="4"/>
        <v>9958</v>
      </c>
      <c r="M13" s="54">
        <f t="shared" si="5"/>
        <v>34588</v>
      </c>
      <c r="N13" s="54">
        <f t="shared" si="6"/>
        <v>113222</v>
      </c>
      <c r="O13" s="54">
        <f t="shared" si="7"/>
        <v>147810</v>
      </c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30" ht="17.25" thickBot="1" x14ac:dyDescent="0.3">
      <c r="A14" s="46"/>
      <c r="B14" s="87" t="s">
        <v>95</v>
      </c>
      <c r="C14" s="86">
        <v>823.05</v>
      </c>
      <c r="D14" s="47">
        <v>2010</v>
      </c>
      <c r="E14" s="47">
        <v>2023</v>
      </c>
      <c r="F14" s="47">
        <v>50</v>
      </c>
      <c r="G14" s="53">
        <v>10000</v>
      </c>
      <c r="H14" s="54">
        <f t="shared" si="0"/>
        <v>13</v>
      </c>
      <c r="I14" s="54">
        <f t="shared" si="1"/>
        <v>37</v>
      </c>
      <c r="J14" s="54">
        <f t="shared" si="2"/>
        <v>23.4</v>
      </c>
      <c r="K14" s="54">
        <f t="shared" si="3"/>
        <v>2340</v>
      </c>
      <c r="L14" s="54">
        <f t="shared" si="4"/>
        <v>7660</v>
      </c>
      <c r="M14" s="54">
        <f t="shared" si="5"/>
        <v>1925937</v>
      </c>
      <c r="N14" s="54">
        <f t="shared" si="6"/>
        <v>6304563</v>
      </c>
      <c r="O14" s="54">
        <f t="shared" si="7"/>
        <v>8230500</v>
      </c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30" ht="16.5" x14ac:dyDescent="0.3">
      <c r="A15" s="23"/>
      <c r="B15" s="44"/>
      <c r="C15" s="121">
        <f>SUM(C8:C14)</f>
        <v>1882.3999999999999</v>
      </c>
      <c r="D15" s="45"/>
      <c r="E15" s="45"/>
      <c r="F15" s="6"/>
      <c r="G15" s="54"/>
      <c r="H15" s="54"/>
      <c r="I15" s="54"/>
      <c r="J15" s="57"/>
      <c r="K15" s="54"/>
      <c r="L15" s="57"/>
      <c r="M15" s="54">
        <f>SUM(M8:M14)</f>
        <v>5148481</v>
      </c>
      <c r="N15" s="54">
        <f>SUM(N8:N14)</f>
        <v>16853569</v>
      </c>
      <c r="O15" s="54">
        <f>SUM(O8:O14)</f>
        <v>22002050</v>
      </c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30" ht="16.5" x14ac:dyDescent="0.3">
      <c r="A16" s="37"/>
      <c r="B16" s="10"/>
      <c r="C16" s="11"/>
      <c r="D16" s="11"/>
      <c r="E16" s="11"/>
      <c r="F16" s="12"/>
      <c r="G16" s="12"/>
      <c r="H16" s="12"/>
      <c r="I16" s="12"/>
      <c r="J16" s="11"/>
      <c r="K16" s="15"/>
      <c r="L16" s="16"/>
      <c r="M16" s="12"/>
      <c r="N16" s="26"/>
      <c r="O16" s="26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6.5" x14ac:dyDescent="0.3">
      <c r="A17" s="37"/>
      <c r="B17" s="101" t="s">
        <v>20</v>
      </c>
      <c r="C17" s="101"/>
      <c r="D17" s="11"/>
      <c r="E17" s="11"/>
      <c r="F17" s="73" t="s">
        <v>54</v>
      </c>
      <c r="G17" s="74" t="s">
        <v>55</v>
      </c>
      <c r="H17" s="74" t="s">
        <v>56</v>
      </c>
      <c r="I17" s="12"/>
      <c r="J17" s="77" t="s">
        <v>65</v>
      </c>
      <c r="K17" s="78"/>
      <c r="L17" s="79"/>
      <c r="M17" s="12"/>
      <c r="N17" s="26"/>
      <c r="O17" s="26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6.5" x14ac:dyDescent="0.3">
      <c r="A18" s="37"/>
      <c r="B18" s="22" t="s">
        <v>19</v>
      </c>
      <c r="C18" s="58">
        <v>0</v>
      </c>
      <c r="D18" s="11"/>
      <c r="E18" s="16"/>
      <c r="F18" s="12"/>
      <c r="G18" s="21">
        <v>275.05</v>
      </c>
      <c r="H18" s="65">
        <f>G18*10.764</f>
        <v>2960.6381999999999</v>
      </c>
      <c r="I18" s="65"/>
      <c r="J18" s="80" t="s">
        <v>66</v>
      </c>
      <c r="K18" s="81">
        <v>1577</v>
      </c>
      <c r="L18" s="81"/>
      <c r="M18" s="65">
        <v>15986700</v>
      </c>
      <c r="N18" s="26"/>
      <c r="O18" s="26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6.5" x14ac:dyDescent="0.3">
      <c r="A19" s="37"/>
      <c r="B19" s="23" t="s">
        <v>6</v>
      </c>
      <c r="C19" s="49">
        <v>0</v>
      </c>
      <c r="D19" s="11"/>
      <c r="E19" s="11"/>
      <c r="F19" s="12"/>
      <c r="G19" s="21">
        <v>275.05</v>
      </c>
      <c r="H19" s="65">
        <f t="shared" ref="H19:H26" si="8">G19*10.764</f>
        <v>2960.6381999999999</v>
      </c>
      <c r="I19" s="65"/>
      <c r="J19" s="80" t="s">
        <v>67</v>
      </c>
      <c r="K19" s="81">
        <v>1000</v>
      </c>
      <c r="L19" s="81"/>
      <c r="M19" s="65">
        <v>16327001</v>
      </c>
      <c r="N19" s="26"/>
      <c r="O19" s="26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6.5" x14ac:dyDescent="0.3">
      <c r="A20" s="37"/>
      <c r="B20" s="23" t="s">
        <v>7</v>
      </c>
      <c r="C20" s="56">
        <f>ROUND((C18*C19),0)</f>
        <v>0</v>
      </c>
      <c r="D20" s="11"/>
      <c r="E20" s="11"/>
      <c r="F20" s="12"/>
      <c r="G20" s="21">
        <v>245.66</v>
      </c>
      <c r="H20" s="65">
        <f t="shared" si="8"/>
        <v>2644.28424</v>
      </c>
      <c r="I20" s="65"/>
      <c r="J20" s="80" t="s">
        <v>6</v>
      </c>
      <c r="K20" s="81">
        <f>SUM(K18:K19)</f>
        <v>2577</v>
      </c>
      <c r="L20" s="81"/>
      <c r="M20" s="65">
        <v>0</v>
      </c>
      <c r="N20" s="26"/>
      <c r="O20" s="26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6.5" x14ac:dyDescent="0.3">
      <c r="A21" s="37"/>
      <c r="B21" s="10"/>
      <c r="C21" s="11"/>
      <c r="D21" s="11"/>
      <c r="E21" s="11"/>
      <c r="F21" s="12"/>
      <c r="G21" s="21">
        <v>245.66</v>
      </c>
      <c r="H21" s="65">
        <f t="shared" si="8"/>
        <v>2644.28424</v>
      </c>
      <c r="I21" s="65"/>
      <c r="J21" s="80"/>
      <c r="K21" s="81"/>
      <c r="L21" s="81"/>
      <c r="M21" s="65">
        <v>0</v>
      </c>
      <c r="N21" s="26"/>
      <c r="O21" s="26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6.5" x14ac:dyDescent="0.3">
      <c r="A22" s="37"/>
      <c r="B22" s="102" t="s">
        <v>15</v>
      </c>
      <c r="C22" s="103"/>
      <c r="D22" s="11"/>
      <c r="E22" s="11"/>
      <c r="F22" s="12"/>
      <c r="G22" s="21">
        <v>6.56</v>
      </c>
      <c r="H22" s="65">
        <f t="shared" si="8"/>
        <v>70.611839999999987</v>
      </c>
      <c r="I22" s="65"/>
      <c r="J22" s="65"/>
      <c r="K22" s="65"/>
      <c r="L22" s="65"/>
      <c r="M22" s="65">
        <v>32313701</v>
      </c>
      <c r="N22" s="12"/>
      <c r="O22" s="12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6.5" x14ac:dyDescent="0.3">
      <c r="A23" s="37"/>
      <c r="B23" s="22" t="s">
        <v>11</v>
      </c>
      <c r="C23" s="58">
        <v>0</v>
      </c>
      <c r="D23" s="1"/>
      <c r="E23" s="27"/>
      <c r="F23" s="27">
        <f>450*10.764</f>
        <v>4843.7999999999993</v>
      </c>
      <c r="G23" s="21">
        <v>93.33</v>
      </c>
      <c r="H23" s="65">
        <f t="shared" si="8"/>
        <v>1004.60412</v>
      </c>
      <c r="I23" s="66"/>
      <c r="J23" s="21"/>
      <c r="K23" s="21"/>
      <c r="L23" s="67"/>
      <c r="M23" s="21">
        <v>29082331</v>
      </c>
      <c r="O23" s="7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6.5" x14ac:dyDescent="0.3">
      <c r="A24" s="37"/>
      <c r="B24" s="23" t="s">
        <v>6</v>
      </c>
      <c r="C24" s="49">
        <v>0</v>
      </c>
      <c r="D24" s="15"/>
      <c r="E24" s="21"/>
      <c r="F24" s="21">
        <f>4900/10.764</f>
        <v>455.22110739502045</v>
      </c>
      <c r="G24" s="21">
        <v>11.37</v>
      </c>
      <c r="H24" s="65">
        <f t="shared" si="8"/>
        <v>122.38667999999998</v>
      </c>
      <c r="I24" s="66"/>
      <c r="J24" s="21"/>
      <c r="K24" s="21"/>
      <c r="L24" s="67"/>
      <c r="M24" s="21">
        <v>25850961</v>
      </c>
      <c r="O24" s="7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6.5" x14ac:dyDescent="0.3">
      <c r="A25" s="37"/>
      <c r="B25" s="23" t="s">
        <v>7</v>
      </c>
      <c r="C25" s="56">
        <f>ROUND((C23*C24),0)</f>
        <v>0</v>
      </c>
      <c r="D25" s="9"/>
      <c r="E25" s="9"/>
      <c r="F25" s="20"/>
      <c r="G25" s="21">
        <v>49.4</v>
      </c>
      <c r="H25" s="65">
        <f t="shared" si="8"/>
        <v>531.74159999999995</v>
      </c>
      <c r="I25" s="66"/>
      <c r="J25" s="66"/>
      <c r="K25" s="66"/>
      <c r="L25" s="66"/>
      <c r="M25" s="21">
        <v>20276500</v>
      </c>
      <c r="O25" s="7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6.5" x14ac:dyDescent="0.3">
      <c r="A26" s="37"/>
      <c r="B26" s="37"/>
      <c r="C26" s="18"/>
      <c r="D26" s="9"/>
      <c r="E26" s="9"/>
      <c r="F26" s="20"/>
      <c r="G26" s="21">
        <v>25.62</v>
      </c>
      <c r="H26" s="65">
        <f t="shared" si="8"/>
        <v>275.77368000000001</v>
      </c>
      <c r="I26" s="66"/>
      <c r="J26" s="21" t="s">
        <v>58</v>
      </c>
      <c r="K26" s="21"/>
      <c r="L26" s="67">
        <v>3194</v>
      </c>
      <c r="M26" s="21"/>
      <c r="O26" s="7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 x14ac:dyDescent="0.3">
      <c r="A27" s="37"/>
      <c r="B27" s="2"/>
      <c r="C27" s="9" t="s">
        <v>22</v>
      </c>
      <c r="D27" s="9"/>
      <c r="E27" s="9"/>
      <c r="F27" s="20"/>
      <c r="G27" s="67">
        <f>SUM(G18:G26)</f>
        <v>1227.6999999999998</v>
      </c>
      <c r="H27" s="68">
        <f>SUM(H18:H26)</f>
        <v>13214.962799999999</v>
      </c>
      <c r="I27" s="66"/>
      <c r="J27" s="21" t="s">
        <v>59</v>
      </c>
      <c r="K27" s="21"/>
      <c r="L27" s="67">
        <f>L26*10.764</f>
        <v>34380.216</v>
      </c>
      <c r="M27" s="21"/>
      <c r="O27" s="7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3.5" customHeight="1" x14ac:dyDescent="0.3">
      <c r="A28" s="37"/>
      <c r="B28" s="2" t="s">
        <v>13</v>
      </c>
      <c r="C28" s="50">
        <f>C4</f>
        <v>15970000</v>
      </c>
      <c r="D28" s="18"/>
      <c r="E28" s="18"/>
      <c r="F28" s="18"/>
      <c r="G28" s="69"/>
      <c r="H28" s="70">
        <v>13215</v>
      </c>
      <c r="I28" s="71"/>
      <c r="J28" s="21"/>
      <c r="K28" s="21"/>
      <c r="L28" s="69"/>
      <c r="M28" s="21"/>
      <c r="O28" s="7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6.5" x14ac:dyDescent="0.3">
      <c r="A29" s="37"/>
      <c r="B29" s="2" t="s">
        <v>14</v>
      </c>
      <c r="C29" s="50">
        <f>N15</f>
        <v>16853569</v>
      </c>
      <c r="D29" s="18"/>
      <c r="E29" s="18"/>
      <c r="F29" s="18"/>
      <c r="G29" s="69"/>
      <c r="H29" s="71"/>
      <c r="I29" s="71"/>
      <c r="J29" s="21"/>
      <c r="K29" s="21"/>
      <c r="L29" s="71"/>
      <c r="M29" s="21"/>
      <c r="O29" s="7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3" x14ac:dyDescent="0.3">
      <c r="A30" s="37"/>
      <c r="B30" s="2" t="s">
        <v>21</v>
      </c>
      <c r="C30" s="50">
        <f>C20</f>
        <v>0</v>
      </c>
      <c r="D30" s="18"/>
      <c r="E30" s="18"/>
      <c r="F30" s="18" t="s">
        <v>57</v>
      </c>
      <c r="G30" s="69">
        <v>821.05</v>
      </c>
      <c r="H30" s="71">
        <f>G30*10.764</f>
        <v>8837.7821999999996</v>
      </c>
      <c r="I30" s="71"/>
      <c r="J30" s="21"/>
      <c r="K30" s="21">
        <f>3000/10.764</f>
        <v>278.70680044593092</v>
      </c>
      <c r="L30" s="71"/>
      <c r="M30" s="21"/>
      <c r="O30" s="7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6.5" x14ac:dyDescent="0.3">
      <c r="A31" s="1"/>
      <c r="B31" s="2" t="s">
        <v>12</v>
      </c>
      <c r="C31" s="50">
        <f>C25</f>
        <v>0</v>
      </c>
      <c r="D31" s="18"/>
      <c r="E31" s="18"/>
      <c r="F31" s="18"/>
      <c r="G31" s="69"/>
      <c r="H31" s="71"/>
      <c r="I31" s="71"/>
      <c r="J31" s="21"/>
      <c r="K31" s="21"/>
      <c r="L31" s="71"/>
      <c r="M31" s="21"/>
      <c r="O31" s="7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6.5" x14ac:dyDescent="0.3">
      <c r="A32" s="1"/>
      <c r="B32" s="13" t="s">
        <v>8</v>
      </c>
      <c r="C32" s="59">
        <f>C28+C29+C30+C31</f>
        <v>32823569</v>
      </c>
      <c r="D32" s="17"/>
      <c r="E32" s="1"/>
      <c r="F32" s="17"/>
      <c r="G32" s="21"/>
      <c r="H32" s="21"/>
      <c r="I32" s="21"/>
      <c r="J32" s="21"/>
      <c r="K32" s="21"/>
      <c r="L32" s="21"/>
      <c r="M32" s="21"/>
      <c r="N32" s="7"/>
      <c r="O32" s="7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6.5" x14ac:dyDescent="0.3">
      <c r="A33" s="1"/>
      <c r="B33" s="13" t="s">
        <v>9</v>
      </c>
      <c r="C33" s="59">
        <f>MROUND(C32*90%,1)</f>
        <v>29541212</v>
      </c>
      <c r="D33" s="19"/>
      <c r="E33" s="1" t="s">
        <v>62</v>
      </c>
      <c r="F33" s="17">
        <v>2046</v>
      </c>
      <c r="G33" s="21"/>
      <c r="H33" s="72"/>
      <c r="I33" s="72"/>
      <c r="J33" s="21"/>
      <c r="K33" s="21"/>
      <c r="L33" s="21"/>
      <c r="M33" s="21"/>
      <c r="N33" s="7"/>
      <c r="O33" s="7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6.5" x14ac:dyDescent="0.3">
      <c r="A34" s="1"/>
      <c r="B34" s="13" t="s">
        <v>10</v>
      </c>
      <c r="C34" s="59">
        <f>MROUND(C32*80%,1)</f>
        <v>26258855</v>
      </c>
      <c r="D34" s="19"/>
      <c r="E34" s="1"/>
      <c r="F34" s="17">
        <v>2016</v>
      </c>
      <c r="G34" s="7"/>
      <c r="H34" s="31"/>
      <c r="I34" s="31"/>
      <c r="J34" s="1"/>
      <c r="K34" s="7"/>
      <c r="L34" s="1"/>
      <c r="M34" s="7"/>
      <c r="N34" s="7"/>
      <c r="O34" s="7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6.5" x14ac:dyDescent="0.3">
      <c r="A35" s="1"/>
      <c r="B35" s="13" t="s">
        <v>25</v>
      </c>
      <c r="C35" s="59">
        <f>O15</f>
        <v>22002050</v>
      </c>
      <c r="D35" s="28"/>
      <c r="E35" s="1" t="s">
        <v>63</v>
      </c>
      <c r="F35" s="18">
        <f>F33-F34</f>
        <v>30</v>
      </c>
      <c r="G35" s="7"/>
      <c r="H35" s="7"/>
      <c r="I35" s="7"/>
      <c r="J35" s="1"/>
      <c r="K35" s="7">
        <v>1577</v>
      </c>
      <c r="L35" s="1">
        <v>3000</v>
      </c>
      <c r="M35" s="7"/>
      <c r="N35" s="7"/>
      <c r="O35" s="32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6.5" x14ac:dyDescent="0.3">
      <c r="A36" s="1"/>
      <c r="B36" s="2" t="s">
        <v>98</v>
      </c>
      <c r="C36" s="124">
        <f>C29*0.85</f>
        <v>14325533.65</v>
      </c>
      <c r="D36" s="1"/>
      <c r="E36" s="1" t="s">
        <v>64</v>
      </c>
      <c r="F36" s="18">
        <f>F33-2023</f>
        <v>23</v>
      </c>
      <c r="G36" s="7"/>
      <c r="H36" s="7"/>
      <c r="I36" s="7"/>
      <c r="J36" s="1"/>
      <c r="K36" s="7">
        <v>1000</v>
      </c>
      <c r="L36" s="1">
        <f>L35/10.764</f>
        <v>278.70680044593092</v>
      </c>
      <c r="M36" s="7"/>
      <c r="N36" s="7"/>
      <c r="O36" s="32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6.5" x14ac:dyDescent="0.3">
      <c r="A37" s="1"/>
      <c r="B37" s="75" t="s">
        <v>60</v>
      </c>
      <c r="C37" s="75" t="s">
        <v>61</v>
      </c>
      <c r="D37" s="1"/>
      <c r="E37" s="1"/>
      <c r="F37" s="7"/>
      <c r="G37" s="7"/>
      <c r="H37" s="7"/>
      <c r="I37" s="7"/>
      <c r="J37" s="1"/>
      <c r="K37" s="7">
        <f>SUM(K35:K36)</f>
        <v>2577</v>
      </c>
      <c r="L37" s="1"/>
      <c r="M37" s="7"/>
      <c r="N37" s="7"/>
      <c r="O37" s="32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6.5" x14ac:dyDescent="0.3">
      <c r="A38" s="1"/>
      <c r="B38" s="75">
        <v>5000</v>
      </c>
      <c r="C38" s="76">
        <f>B38/10.76</f>
        <v>464.68401486988847</v>
      </c>
      <c r="D38" s="1"/>
      <c r="E38" s="1"/>
      <c r="F38" s="7"/>
      <c r="G38" s="7"/>
      <c r="H38" s="7"/>
      <c r="I38" s="7"/>
      <c r="J38" s="1"/>
      <c r="K38" s="7">
        <f>K37/10.764</f>
        <v>239.40914158305463</v>
      </c>
      <c r="L38" s="33"/>
      <c r="M38" s="7"/>
      <c r="N38" s="7"/>
      <c r="O38" s="32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6.5" x14ac:dyDescent="0.3">
      <c r="A39" s="1"/>
      <c r="B39" s="75" t="s">
        <v>61</v>
      </c>
      <c r="C39" s="75" t="s">
        <v>60</v>
      </c>
      <c r="D39" s="1"/>
      <c r="E39" s="1"/>
      <c r="F39" s="7"/>
      <c r="G39" s="7"/>
      <c r="H39" s="7"/>
      <c r="I39" s="7"/>
      <c r="J39" s="1"/>
      <c r="K39" s="7"/>
      <c r="L39" s="33"/>
      <c r="M39" s="7"/>
      <c r="N39" s="7"/>
      <c r="O39" s="32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7.25" thickBot="1" x14ac:dyDescent="0.35">
      <c r="A40" s="1"/>
      <c r="B40" s="75">
        <v>465</v>
      </c>
      <c r="C40" s="76">
        <f t="shared" ref="C40" si="9">B40*10.76</f>
        <v>5003.3999999999996</v>
      </c>
      <c r="D40" s="1"/>
      <c r="E40" s="1"/>
      <c r="F40" s="7"/>
      <c r="G40" s="7"/>
      <c r="H40" s="31"/>
      <c r="I40" s="31"/>
      <c r="J40" s="1"/>
      <c r="K40" s="7"/>
      <c r="L40" s="33"/>
      <c r="M40" s="7"/>
      <c r="N40" s="7"/>
      <c r="O40" s="32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7.25" thickBot="1" x14ac:dyDescent="0.35">
      <c r="A41" s="1"/>
      <c r="D41" s="1"/>
      <c r="E41" s="1"/>
      <c r="F41" s="7"/>
      <c r="G41" s="7"/>
      <c r="H41" s="7"/>
      <c r="I41" s="7"/>
      <c r="J41" s="1"/>
      <c r="K41" s="7"/>
      <c r="L41" s="33"/>
      <c r="M41" s="7"/>
      <c r="N41" s="7"/>
      <c r="O41" s="117">
        <v>1920</v>
      </c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7.25" thickBot="1" x14ac:dyDescent="0.35">
      <c r="A42" s="1"/>
      <c r="D42" s="1"/>
      <c r="E42" s="1"/>
      <c r="F42" s="7"/>
      <c r="G42" s="7"/>
      <c r="H42" s="7"/>
      <c r="I42" s="7"/>
      <c r="J42" s="1"/>
      <c r="K42" s="7"/>
      <c r="L42" s="33"/>
      <c r="M42" s="7"/>
      <c r="N42" s="7"/>
      <c r="O42" s="118">
        <v>5723</v>
      </c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7.25" thickBot="1" x14ac:dyDescent="0.35">
      <c r="A43" s="1"/>
      <c r="E43" s="1"/>
      <c r="F43" s="7"/>
      <c r="G43" s="7"/>
      <c r="H43" s="7"/>
      <c r="I43" s="7"/>
      <c r="J43" s="1"/>
      <c r="K43" s="7"/>
      <c r="L43" s="33"/>
      <c r="M43" s="7"/>
      <c r="N43" s="7"/>
      <c r="O43" s="118">
        <v>1520</v>
      </c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7.25" thickBot="1" x14ac:dyDescent="0.35">
      <c r="A44" s="1"/>
      <c r="E44" s="1"/>
      <c r="F44" s="7"/>
      <c r="G44" s="7"/>
      <c r="H44" s="7"/>
      <c r="I44" s="7"/>
      <c r="J44" s="1"/>
      <c r="K44" s="7"/>
      <c r="L44" s="33"/>
      <c r="M44" s="7"/>
      <c r="N44" s="7"/>
      <c r="O44" s="118">
        <v>1955</v>
      </c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7.25" thickBot="1" x14ac:dyDescent="0.35">
      <c r="A45" s="1"/>
      <c r="E45" s="1"/>
      <c r="F45" s="7"/>
      <c r="G45" s="7"/>
      <c r="H45" s="7"/>
      <c r="I45" s="7"/>
      <c r="J45" s="1"/>
      <c r="K45" s="7"/>
      <c r="L45" s="1"/>
      <c r="M45" s="7"/>
      <c r="N45" s="7"/>
      <c r="O45" s="118">
        <v>5400</v>
      </c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7.25" thickBot="1" x14ac:dyDescent="0.35">
      <c r="A46" s="1"/>
      <c r="E46" s="1"/>
      <c r="F46" s="7"/>
      <c r="G46" s="7"/>
      <c r="H46" s="7"/>
      <c r="I46" s="7"/>
      <c r="J46" s="1"/>
      <c r="K46" s="7"/>
      <c r="L46" s="1"/>
      <c r="M46" s="7"/>
      <c r="N46" s="7"/>
      <c r="O46" s="119">
        <v>966</v>
      </c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7.25" thickBot="1" x14ac:dyDescent="0.35">
      <c r="A47" s="1"/>
      <c r="E47" s="1"/>
      <c r="F47" s="7"/>
      <c r="G47" s="7"/>
      <c r="H47" s="7"/>
      <c r="M47" s="7"/>
      <c r="N47" s="7"/>
      <c r="O47" s="118">
        <v>8732</v>
      </c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6.5" x14ac:dyDescent="0.3">
      <c r="A48" s="1"/>
      <c r="B48" s="1"/>
      <c r="C48" s="1"/>
      <c r="D48" s="1"/>
      <c r="E48" s="1"/>
      <c r="F48" s="7"/>
      <c r="G48" s="7"/>
      <c r="H48" s="7"/>
      <c r="J48" s="82" t="s">
        <v>68</v>
      </c>
      <c r="K48" s="82">
        <v>1577</v>
      </c>
      <c r="M48" s="7"/>
      <c r="N48" s="7"/>
      <c r="O48" s="7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6.5" x14ac:dyDescent="0.3">
      <c r="A49" s="1"/>
      <c r="B49" s="1"/>
      <c r="C49" s="1"/>
      <c r="D49" s="1"/>
      <c r="E49" s="1"/>
      <c r="F49" s="7"/>
      <c r="G49" s="7"/>
      <c r="H49" s="7"/>
      <c r="J49" s="82" t="s">
        <v>69</v>
      </c>
      <c r="K49" s="82">
        <v>1000</v>
      </c>
      <c r="M49" s="7"/>
      <c r="N49" s="7"/>
      <c r="O49" s="7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6.5" x14ac:dyDescent="0.3">
      <c r="A50" s="1"/>
      <c r="B50" s="1"/>
      <c r="C50" s="1"/>
      <c r="D50" s="1"/>
      <c r="E50" s="1"/>
      <c r="F50" s="7"/>
      <c r="G50" s="7"/>
      <c r="H50" s="7"/>
      <c r="J50" s="82" t="s">
        <v>70</v>
      </c>
      <c r="K50" s="82">
        <f>SUM(K48:K49)</f>
        <v>2577</v>
      </c>
      <c r="M50" s="7"/>
      <c r="N50" s="7"/>
      <c r="O50" s="7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6.5" x14ac:dyDescent="0.3">
      <c r="A51" s="1"/>
      <c r="B51" s="1"/>
      <c r="C51" s="1"/>
      <c r="D51" s="1"/>
      <c r="E51" s="1"/>
      <c r="F51" s="7"/>
      <c r="G51" s="7"/>
      <c r="H51" s="7"/>
      <c r="M51" s="7"/>
      <c r="N51" s="7"/>
      <c r="O51" s="7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6.5" x14ac:dyDescent="0.3">
      <c r="A52" s="1"/>
      <c r="B52" s="1"/>
      <c r="C52" s="1"/>
      <c r="D52" s="1"/>
      <c r="E52" s="1"/>
      <c r="F52" s="7"/>
      <c r="G52" s="7"/>
      <c r="H52" s="7"/>
      <c r="I52" s="7"/>
      <c r="J52" s="1"/>
      <c r="K52" s="7"/>
      <c r="L52" s="1"/>
      <c r="M52" s="7"/>
      <c r="N52" s="7"/>
      <c r="O52" s="7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6.5" x14ac:dyDescent="0.3">
      <c r="A53" s="1"/>
      <c r="B53" s="1"/>
      <c r="C53" s="1"/>
      <c r="D53" s="1"/>
      <c r="E53" s="1"/>
      <c r="F53" s="7"/>
      <c r="G53" s="7"/>
      <c r="H53" s="7"/>
      <c r="I53" s="7"/>
      <c r="J53" s="1"/>
      <c r="K53" s="7"/>
      <c r="L53" s="1"/>
      <c r="M53" s="7"/>
      <c r="N53" s="7"/>
      <c r="O53" s="7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6.5" x14ac:dyDescent="0.3">
      <c r="A54" s="1"/>
      <c r="B54" s="1"/>
      <c r="C54" s="1"/>
      <c r="D54" s="1"/>
      <c r="E54" s="1"/>
      <c r="F54" s="7"/>
      <c r="G54" s="7"/>
      <c r="H54" s="7"/>
      <c r="I54" s="7"/>
      <c r="J54" s="1"/>
      <c r="K54" s="7"/>
      <c r="L54" s="1"/>
      <c r="M54" s="7"/>
      <c r="N54" s="7"/>
      <c r="O54" s="7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6.5" x14ac:dyDescent="0.3">
      <c r="A55" s="1"/>
      <c r="B55" s="1"/>
      <c r="C55" s="1"/>
      <c r="D55" s="1"/>
      <c r="E55" s="1"/>
      <c r="F55" s="7"/>
      <c r="G55" s="7"/>
      <c r="H55" s="7"/>
      <c r="I55" s="7"/>
      <c r="J55" s="1"/>
      <c r="K55" s="7"/>
      <c r="L55" s="1"/>
      <c r="M55" s="7"/>
      <c r="N55" s="7"/>
      <c r="O55" s="7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6.5" x14ac:dyDescent="0.3">
      <c r="A56" s="1"/>
      <c r="B56" s="1"/>
      <c r="C56" s="1"/>
      <c r="D56" s="1"/>
      <c r="E56" s="1"/>
      <c r="F56" s="34"/>
      <c r="G56" s="34"/>
      <c r="H56" s="34"/>
      <c r="I56" s="34"/>
      <c r="J56" s="13"/>
      <c r="K56" s="7"/>
      <c r="L56" s="1"/>
      <c r="M56" s="7"/>
      <c r="N56" s="7"/>
      <c r="O56" s="7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6.5" x14ac:dyDescent="0.3">
      <c r="A57" s="1"/>
      <c r="B57" s="1"/>
      <c r="C57" s="1"/>
      <c r="D57" s="1"/>
      <c r="E57" s="1"/>
      <c r="F57" s="32"/>
      <c r="G57" s="1"/>
      <c r="H57" s="32"/>
      <c r="I57" s="32"/>
      <c r="J57" s="1"/>
      <c r="K57" s="7"/>
      <c r="L57" s="1"/>
      <c r="M57" s="7"/>
      <c r="N57" s="7"/>
      <c r="O57" s="7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6.5" x14ac:dyDescent="0.3">
      <c r="A58" s="1"/>
      <c r="B58" s="1"/>
      <c r="C58" s="1"/>
      <c r="D58" s="1"/>
      <c r="E58" s="1"/>
      <c r="F58" s="32"/>
      <c r="G58" s="32"/>
      <c r="H58" s="35"/>
      <c r="I58" s="35"/>
      <c r="J58" s="1"/>
      <c r="K58" s="7"/>
      <c r="L58" s="1"/>
      <c r="M58" s="7"/>
      <c r="N58" s="7"/>
      <c r="O58" s="7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6.5" x14ac:dyDescent="0.3">
      <c r="A59" s="1"/>
      <c r="B59" s="1"/>
      <c r="C59" s="1"/>
      <c r="D59" s="1"/>
      <c r="E59" s="1"/>
      <c r="F59" s="32"/>
      <c r="G59" s="32"/>
      <c r="H59" s="32"/>
      <c r="I59" s="32"/>
      <c r="J59" s="1"/>
      <c r="K59" s="7"/>
      <c r="L59" s="1"/>
      <c r="M59" s="7"/>
      <c r="N59" s="7"/>
      <c r="O59" s="7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6.5" x14ac:dyDescent="0.3">
      <c r="A60" s="1"/>
      <c r="B60" s="1"/>
      <c r="C60" s="1"/>
      <c r="D60" s="1"/>
      <c r="E60" s="1"/>
      <c r="F60" s="32"/>
      <c r="G60" s="36"/>
      <c r="H60" s="32"/>
      <c r="I60" s="32"/>
      <c r="J60" s="1"/>
      <c r="K60" s="7"/>
      <c r="L60" s="1"/>
      <c r="M60" s="7"/>
      <c r="N60" s="7"/>
      <c r="O60" s="7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6.5" x14ac:dyDescent="0.3">
      <c r="A61" s="1"/>
      <c r="B61" s="1"/>
      <c r="C61" s="1"/>
      <c r="D61" s="1"/>
      <c r="E61" s="1"/>
      <c r="F61" s="32"/>
      <c r="G61" s="32"/>
      <c r="H61" s="32"/>
      <c r="I61" s="32"/>
      <c r="J61" s="1"/>
      <c r="K61" s="7"/>
      <c r="L61" s="1"/>
      <c r="M61" s="7"/>
      <c r="N61" s="7"/>
      <c r="O61" s="7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6.5" x14ac:dyDescent="0.3">
      <c r="A62" s="1"/>
      <c r="B62" s="1"/>
      <c r="C62" s="1"/>
      <c r="D62" s="1"/>
      <c r="E62" s="1"/>
      <c r="F62" s="32"/>
      <c r="G62" s="32"/>
      <c r="H62" s="32"/>
      <c r="I62" s="32"/>
      <c r="J62" s="1"/>
      <c r="K62" s="7"/>
      <c r="L62" s="1"/>
      <c r="M62" s="7"/>
      <c r="N62" s="7"/>
      <c r="O62" s="7"/>
      <c r="P62" s="1"/>
      <c r="Q62" s="1"/>
      <c r="R62" s="1"/>
      <c r="S62" s="1"/>
      <c r="T62" s="1"/>
      <c r="U62" s="1"/>
      <c r="V62" s="1"/>
      <c r="W62" s="1"/>
      <c r="X62" s="1"/>
      <c r="Y62" s="1"/>
    </row>
  </sheetData>
  <mergeCells count="2">
    <mergeCell ref="B17:C17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old</vt:lpstr>
      <vt:lpstr>Sheet1</vt:lpstr>
      <vt:lpstr>Sheet2</vt:lpstr>
      <vt:lpstr>Sheet3</vt:lpstr>
      <vt:lpstr>revised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akhilesh Yadav</cp:lastModifiedBy>
  <dcterms:created xsi:type="dcterms:W3CDTF">2014-10-16T12:20:47Z</dcterms:created>
  <dcterms:modified xsi:type="dcterms:W3CDTF">2023-11-18T07:09:40Z</dcterms:modified>
</cp:coreProperties>
</file>