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Sheet1" sheetId="1" r:id="rId1"/>
    <sheet name="Sheet2" sheetId="2" r:id="rId2"/>
    <sheet name="Sheet3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5" i="2" l="1"/>
  <c r="H24" i="2"/>
  <c r="G11" i="2"/>
  <c r="G9" i="2"/>
  <c r="G7" i="2"/>
  <c r="J6" i="2"/>
  <c r="J3" i="2"/>
  <c r="P20" i="2"/>
  <c r="O20" i="2"/>
  <c r="D40" i="2" l="1"/>
  <c r="D41" i="2"/>
  <c r="D42" i="2"/>
  <c r="D43" i="2"/>
  <c r="D44" i="2"/>
  <c r="D45" i="2"/>
  <c r="D46" i="2"/>
  <c r="D47" i="2"/>
  <c r="D39" i="2"/>
  <c r="C4" i="3"/>
  <c r="C35" i="3" s="1"/>
  <c r="C43" i="3"/>
  <c r="C44" i="3" s="1"/>
  <c r="C45" i="3" s="1"/>
  <c r="F37" i="3"/>
  <c r="M26" i="3"/>
  <c r="H26" i="3"/>
  <c r="I26" i="3" s="1"/>
  <c r="J26" i="3" s="1"/>
  <c r="K26" i="3" s="1"/>
  <c r="L26" i="3" s="1"/>
  <c r="M25" i="3"/>
  <c r="H25" i="3"/>
  <c r="I25" i="3" s="1"/>
  <c r="J25" i="3" s="1"/>
  <c r="K25" i="3" s="1"/>
  <c r="L25" i="3" s="1"/>
  <c r="M24" i="3"/>
  <c r="H24" i="3"/>
  <c r="I24" i="3" s="1"/>
  <c r="J24" i="3" s="1"/>
  <c r="K24" i="3" s="1"/>
  <c r="L24" i="3" s="1"/>
  <c r="M23" i="3"/>
  <c r="H23" i="3"/>
  <c r="I23" i="3" s="1"/>
  <c r="J23" i="3" s="1"/>
  <c r="K23" i="3" s="1"/>
  <c r="L23" i="3" s="1"/>
  <c r="M22" i="3"/>
  <c r="H22" i="3"/>
  <c r="I22" i="3" s="1"/>
  <c r="J22" i="3" s="1"/>
  <c r="K22" i="3" s="1"/>
  <c r="L22" i="3" s="1"/>
  <c r="M21" i="3"/>
  <c r="H21" i="3"/>
  <c r="I21" i="3" s="1"/>
  <c r="J21" i="3" s="1"/>
  <c r="K21" i="3" s="1"/>
  <c r="L21" i="3" s="1"/>
  <c r="M20" i="3"/>
  <c r="H20" i="3"/>
  <c r="I20" i="3" s="1"/>
  <c r="J20" i="3" s="1"/>
  <c r="K20" i="3" s="1"/>
  <c r="L20" i="3" s="1"/>
  <c r="M19" i="3"/>
  <c r="H19" i="3"/>
  <c r="I19" i="3" s="1"/>
  <c r="J19" i="3" s="1"/>
  <c r="K19" i="3" s="1"/>
  <c r="L19" i="3" s="1"/>
  <c r="M18" i="3"/>
  <c r="H18" i="3"/>
  <c r="I18" i="3" s="1"/>
  <c r="J18" i="3" s="1"/>
  <c r="K18" i="3" s="1"/>
  <c r="L18" i="3" s="1"/>
  <c r="M17" i="3"/>
  <c r="H17" i="3"/>
  <c r="I17" i="3" s="1"/>
  <c r="J17" i="3" s="1"/>
  <c r="K17" i="3" s="1"/>
  <c r="L17" i="3" s="1"/>
  <c r="M16" i="3"/>
  <c r="H16" i="3"/>
  <c r="I16" i="3" s="1"/>
  <c r="J16" i="3" s="1"/>
  <c r="K16" i="3" s="1"/>
  <c r="L16" i="3" s="1"/>
  <c r="M15" i="3"/>
  <c r="H15" i="3"/>
  <c r="I15" i="3" s="1"/>
  <c r="J15" i="3" s="1"/>
  <c r="K15" i="3" s="1"/>
  <c r="L15" i="3" s="1"/>
  <c r="M14" i="3"/>
  <c r="H14" i="3"/>
  <c r="I14" i="3" s="1"/>
  <c r="J14" i="3" s="1"/>
  <c r="K14" i="3" s="1"/>
  <c r="L14" i="3" s="1"/>
  <c r="M13" i="3"/>
  <c r="H13" i="3"/>
  <c r="I13" i="3" s="1"/>
  <c r="J13" i="3" s="1"/>
  <c r="K13" i="3" s="1"/>
  <c r="L13" i="3" s="1"/>
  <c r="M12" i="3"/>
  <c r="H12" i="3"/>
  <c r="I12" i="3" s="1"/>
  <c r="J12" i="3" s="1"/>
  <c r="K12" i="3" s="1"/>
  <c r="L12" i="3" s="1"/>
  <c r="M11" i="3"/>
  <c r="H11" i="3"/>
  <c r="I11" i="3" s="1"/>
  <c r="J11" i="3" s="1"/>
  <c r="K11" i="3" s="1"/>
  <c r="L11" i="3" s="1"/>
  <c r="M10" i="3"/>
  <c r="H10" i="3"/>
  <c r="I10" i="3" s="1"/>
  <c r="J10" i="3" s="1"/>
  <c r="K10" i="3" s="1"/>
  <c r="L10" i="3" s="1"/>
  <c r="M9" i="3"/>
  <c r="H9" i="3"/>
  <c r="I9" i="3" s="1"/>
  <c r="J9" i="3" s="1"/>
  <c r="K9" i="3" s="1"/>
  <c r="L9" i="3" s="1"/>
  <c r="M8" i="3"/>
  <c r="H8" i="3"/>
  <c r="I8" i="3" s="1"/>
  <c r="J8" i="3" s="1"/>
  <c r="K8" i="3" s="1"/>
  <c r="L8" i="3" s="1"/>
  <c r="M7" i="3"/>
  <c r="M27" i="3" s="1"/>
  <c r="C46" i="3" s="1"/>
  <c r="D44" i="3" s="1"/>
  <c r="H7" i="3"/>
  <c r="I7" i="3" s="1"/>
  <c r="J7" i="3" s="1"/>
  <c r="K7" i="3" s="1"/>
  <c r="L7" i="3" s="1"/>
  <c r="L27" i="3" s="1"/>
  <c r="C36" i="3" s="1"/>
  <c r="G37" i="3" s="1"/>
  <c r="J1" i="3"/>
  <c r="C37" i="3" l="1"/>
  <c r="C47" i="3" l="1"/>
  <c r="C39" i="3"/>
  <c r="C40" i="3" s="1"/>
  <c r="C41" i="3" s="1"/>
  <c r="C42" i="3"/>
  <c r="C38" i="3"/>
  <c r="C40" i="2" l="1"/>
  <c r="C41" i="2"/>
  <c r="C42" i="2"/>
  <c r="C43" i="2"/>
  <c r="C44" i="2"/>
  <c r="C45" i="2"/>
  <c r="C46" i="2"/>
  <c r="C47" i="2"/>
  <c r="C39" i="2"/>
  <c r="G3" i="2" l="1"/>
  <c r="D8" i="2"/>
  <c r="C6" i="2"/>
  <c r="C7" i="2"/>
  <c r="C8" i="2"/>
  <c r="C4" i="2"/>
  <c r="C32" i="2"/>
  <c r="C25" i="2"/>
  <c r="C16" i="2"/>
  <c r="C12" i="2"/>
  <c r="C13" i="2"/>
  <c r="C14" i="2"/>
  <c r="C15" i="2"/>
  <c r="C20" i="2"/>
  <c r="C21" i="2"/>
  <c r="C22" i="2"/>
  <c r="C23" i="2"/>
  <c r="C24" i="2"/>
  <c r="C27" i="2"/>
  <c r="C30" i="2"/>
  <c r="C31" i="2"/>
  <c r="C11" i="2"/>
  <c r="G4" i="2" l="1"/>
  <c r="G5" i="2"/>
  <c r="B8" i="2"/>
</calcChain>
</file>

<file path=xl/sharedStrings.xml><?xml version="1.0" encoding="utf-8"?>
<sst xmlns="http://schemas.openxmlformats.org/spreadsheetml/2006/main" count="68" uniqueCount="61">
  <si>
    <t>20°12'23.7"N 73°50'11.7"E</t>
  </si>
  <si>
    <t>03.11.2023</t>
  </si>
  <si>
    <t xml:space="preserve">Plot </t>
  </si>
  <si>
    <t>Ground</t>
  </si>
  <si>
    <t>First</t>
  </si>
  <si>
    <t>Balcony</t>
  </si>
  <si>
    <t>Open Area</t>
  </si>
  <si>
    <t>Price Indicator</t>
  </si>
  <si>
    <t>Sq. M.</t>
  </si>
  <si>
    <t>Sq. Ft.</t>
  </si>
  <si>
    <t>Land Value</t>
  </si>
  <si>
    <t>land area</t>
  </si>
  <si>
    <t>Rate</t>
  </si>
  <si>
    <t xml:space="preserve"> Value</t>
  </si>
  <si>
    <t>Structure Value</t>
  </si>
  <si>
    <t>Items</t>
  </si>
  <si>
    <t>Built Up Area In             Sq. M.</t>
  </si>
  <si>
    <t>Year Of Const.</t>
  </si>
  <si>
    <t>Valuation Year</t>
  </si>
  <si>
    <t>Total Life of Structure</t>
  </si>
  <si>
    <t>Full Rate</t>
  </si>
  <si>
    <t>Age Of Build.</t>
  </si>
  <si>
    <t>% of the depreciation rate to be deducted</t>
  </si>
  <si>
    <t>% Value</t>
  </si>
  <si>
    <t>Final Depreciated Rate to be considered</t>
  </si>
  <si>
    <t>Final Depreciated Value to be considered</t>
  </si>
  <si>
    <t>Insurance Value / Full Value</t>
  </si>
  <si>
    <t>bua</t>
  </si>
  <si>
    <t>Normal Case</t>
  </si>
  <si>
    <t>Total Value</t>
  </si>
  <si>
    <t>Realisable Value</t>
  </si>
  <si>
    <t>Value</t>
  </si>
  <si>
    <t>Distress Value</t>
  </si>
  <si>
    <t>Insurance Value</t>
  </si>
  <si>
    <t>Rental</t>
  </si>
  <si>
    <t>Total BU</t>
  </si>
  <si>
    <t>FMV</t>
  </si>
  <si>
    <t>RV</t>
  </si>
  <si>
    <t>DV</t>
  </si>
  <si>
    <t>Insurable</t>
  </si>
  <si>
    <t>Guideline</t>
  </si>
  <si>
    <t>Sr.</t>
  </si>
  <si>
    <t>Particulars</t>
  </si>
  <si>
    <t>Percentage</t>
  </si>
  <si>
    <t>RCC Footing/Foundation</t>
  </si>
  <si>
    <t>RCC Plinth</t>
  </si>
  <si>
    <t>Full Building RCC</t>
  </si>
  <si>
    <t>Internal Brick work</t>
  </si>
  <si>
    <t>External Brickwork</t>
  </si>
  <si>
    <t>Internal plastering</t>
  </si>
  <si>
    <t xml:space="preserve"> External plastering</t>
  </si>
  <si>
    <t>Doors &amp; Windows</t>
  </si>
  <si>
    <t>Flooring</t>
  </si>
  <si>
    <t>Tiling &amp; Kitchen Platform</t>
  </si>
  <si>
    <t>Internal painting</t>
  </si>
  <si>
    <t>External painting</t>
  </si>
  <si>
    <t xml:space="preserve"> plumbing</t>
  </si>
  <si>
    <t>Electrification, Sanitary installation</t>
  </si>
  <si>
    <t>Lift Installation</t>
  </si>
  <si>
    <t>Passage, Staircase &amp; Lobby development</t>
  </si>
  <si>
    <t>External developments / Final finishing work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</si>
</sst>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6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24"/>
      <color rgb="FF202124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sz val="11"/>
      <name val="Arial Narrow"/>
      <family val="2"/>
    </font>
    <font>
      <b/>
      <sz val="10"/>
      <color theme="1"/>
      <name val="Arial Narrow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rgb="FF000000"/>
      <name val="Arial Narrow"/>
      <family val="2"/>
    </font>
    <font>
      <b/>
      <sz val="11"/>
      <color rgb="FFFF0000"/>
      <name val="Arial Narrow"/>
      <family val="2"/>
    </font>
    <font>
      <b/>
      <sz val="11"/>
      <name val="Arial Narrow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90">
    <xf numFmtId="0" fontId="0" fillId="0" borderId="0" xfId="0"/>
    <xf numFmtId="0" fontId="1" fillId="0" borderId="0" xfId="0" applyFont="1" applyAlignment="1">
      <alignment horizontal="left" vertical="center"/>
    </xf>
    <xf numFmtId="43" fontId="0" fillId="0" borderId="0" xfId="1" applyFont="1"/>
    <xf numFmtId="0" fontId="0" fillId="2" borderId="0" xfId="0" applyFill="1"/>
    <xf numFmtId="43" fontId="0" fillId="0" borderId="0" xfId="0" applyNumberFormat="1"/>
    <xf numFmtId="0" fontId="3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3" fillId="0" borderId="0" xfId="0" applyFont="1"/>
    <xf numFmtId="0" fontId="5" fillId="0" borderId="0" xfId="0" applyFont="1"/>
    <xf numFmtId="0" fontId="3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7" fillId="2" borderId="1" xfId="0" applyNumberFormat="1" applyFont="1" applyFill="1" applyBorder="1" applyAlignment="1">
      <alignment vertical="top"/>
    </xf>
    <xf numFmtId="4" fontId="3" fillId="0" borderId="1" xfId="0" applyNumberFormat="1" applyFont="1" applyBorder="1" applyAlignment="1">
      <alignment vertical="top"/>
    </xf>
    <xf numFmtId="0" fontId="7" fillId="0" borderId="1" xfId="0" applyFont="1" applyBorder="1"/>
    <xf numFmtId="4" fontId="5" fillId="0" borderId="1" xfId="0" applyNumberFormat="1" applyFont="1" applyBorder="1" applyAlignment="1">
      <alignment vertical="top"/>
    </xf>
    <xf numFmtId="0" fontId="4" fillId="0" borderId="0" xfId="0" applyFont="1" applyAlignment="1">
      <alignment horizontal="center" wrapText="1"/>
    </xf>
    <xf numFmtId="4" fontId="4" fillId="0" borderId="0" xfId="0" applyNumberFormat="1" applyFont="1"/>
    <xf numFmtId="0" fontId="7" fillId="0" borderId="0" xfId="0" applyFont="1"/>
    <xf numFmtId="0" fontId="8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top" wrapText="1" shrinkToFit="1"/>
    </xf>
    <xf numFmtId="0" fontId="6" fillId="0" borderId="3" xfId="0" applyFont="1" applyBorder="1" applyAlignment="1">
      <alignment horizontal="center" vertical="top" wrapText="1" shrinkToFit="1"/>
    </xf>
    <xf numFmtId="0" fontId="9" fillId="0" borderId="3" xfId="0" applyFont="1" applyBorder="1" applyAlignment="1">
      <alignment horizontal="center" vertical="top" wrapText="1" shrinkToFit="1"/>
    </xf>
    <xf numFmtId="0" fontId="8" fillId="0" borderId="1" xfId="0" applyFont="1" applyBorder="1" applyAlignment="1">
      <alignment horizontal="center" vertical="top" wrapText="1" shrinkToFit="1"/>
    </xf>
    <xf numFmtId="0" fontId="10" fillId="0" borderId="1" xfId="0" applyFont="1" applyBorder="1" applyAlignment="1">
      <alignment horizontal="center" vertical="top" wrapText="1" shrinkToFit="1"/>
    </xf>
    <xf numFmtId="0" fontId="11" fillId="0" borderId="1" xfId="0" applyFont="1" applyBorder="1"/>
    <xf numFmtId="0" fontId="3" fillId="0" borderId="4" xfId="0" applyFont="1" applyBorder="1" applyAlignment="1">
      <alignment horizontal="right" vertical="center" wrapText="1"/>
    </xf>
    <xf numFmtId="0" fontId="7" fillId="0" borderId="1" xfId="0" applyFont="1" applyBorder="1" applyAlignment="1">
      <alignment horizontal="right" vertical="center" wrapText="1"/>
    </xf>
    <xf numFmtId="4" fontId="12" fillId="2" borderId="5" xfId="0" applyNumberFormat="1" applyFont="1" applyFill="1" applyBorder="1" applyAlignment="1">
      <alignment horizontal="right" wrapText="1"/>
    </xf>
    <xf numFmtId="0" fontId="3" fillId="0" borderId="6" xfId="0" applyFont="1" applyBorder="1" applyAlignment="1">
      <alignment vertical="top"/>
    </xf>
    <xf numFmtId="0" fontId="3" fillId="0" borderId="1" xfId="0" applyFont="1" applyBorder="1" applyAlignment="1">
      <alignment vertical="top"/>
    </xf>
    <xf numFmtId="0" fontId="3" fillId="0" borderId="7" xfId="0" applyFont="1" applyBorder="1" applyAlignment="1">
      <alignment horizontal="right" vertical="center" wrapText="1"/>
    </xf>
    <xf numFmtId="4" fontId="12" fillId="0" borderId="5" xfId="0" applyNumberFormat="1" applyFont="1" applyBorder="1" applyAlignment="1">
      <alignment horizontal="right" wrapText="1"/>
    </xf>
    <xf numFmtId="0" fontId="5" fillId="0" borderId="1" xfId="0" applyFont="1" applyBorder="1" applyAlignment="1">
      <alignment vertical="top"/>
    </xf>
    <xf numFmtId="0" fontId="12" fillId="0" borderId="8" xfId="0" applyFont="1" applyBorder="1" applyAlignment="1">
      <alignment vertical="top" wrapText="1"/>
    </xf>
    <xf numFmtId="0" fontId="5" fillId="0" borderId="0" xfId="0" applyFont="1" applyAlignment="1">
      <alignment vertical="top"/>
    </xf>
    <xf numFmtId="4" fontId="3" fillId="0" borderId="5" xfId="0" applyNumberFormat="1" applyFont="1" applyBorder="1" applyAlignment="1">
      <alignment horizontal="right" vertical="top" wrapText="1"/>
    </xf>
    <xf numFmtId="0" fontId="12" fillId="0" borderId="9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12" fillId="0" borderId="0" xfId="0" applyFont="1" applyAlignment="1">
      <alignment horizontal="right" wrapText="1"/>
    </xf>
    <xf numFmtId="0" fontId="7" fillId="0" borderId="0" xfId="0" applyFont="1" applyAlignment="1">
      <alignment horizontal="right" vertical="center" wrapText="1"/>
    </xf>
    <xf numFmtId="4" fontId="7" fillId="0" borderId="0" xfId="0" applyNumberFormat="1" applyFont="1" applyAlignment="1">
      <alignment horizontal="right" vertical="top"/>
    </xf>
    <xf numFmtId="0" fontId="3" fillId="0" borderId="0" xfId="0" applyFont="1" applyAlignment="1">
      <alignment vertical="top"/>
    </xf>
    <xf numFmtId="4" fontId="3" fillId="0" borderId="0" xfId="0" applyNumberFormat="1" applyFont="1" applyAlignment="1">
      <alignment vertical="top"/>
    </xf>
    <xf numFmtId="4" fontId="5" fillId="0" borderId="0" xfId="0" applyNumberFormat="1" applyFont="1" applyAlignment="1">
      <alignment vertical="top"/>
    </xf>
    <xf numFmtId="4" fontId="5" fillId="0" borderId="0" xfId="0" applyNumberFormat="1" applyFont="1"/>
    <xf numFmtId="0" fontId="4" fillId="0" borderId="0" xfId="0" applyFont="1" applyAlignment="1">
      <alignment horizontal="center" vertical="top"/>
    </xf>
    <xf numFmtId="0" fontId="13" fillId="0" borderId="0" xfId="0" applyFont="1"/>
    <xf numFmtId="0" fontId="13" fillId="0" borderId="0" xfId="0" applyFont="1" applyAlignment="1">
      <alignment horizontal="center" vertical="top"/>
    </xf>
    <xf numFmtId="4" fontId="13" fillId="0" borderId="0" xfId="0" applyNumberFormat="1" applyFont="1"/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14" fillId="0" borderId="0" xfId="0" applyFont="1" applyAlignment="1">
      <alignment horizontal="right" vertical="top"/>
    </xf>
    <xf numFmtId="0" fontId="14" fillId="0" borderId="0" xfId="0" applyFont="1"/>
    <xf numFmtId="4" fontId="4" fillId="0" borderId="0" xfId="0" applyNumberFormat="1" applyFont="1" applyAlignment="1">
      <alignment horizontal="center"/>
    </xf>
    <xf numFmtId="4" fontId="14" fillId="0" borderId="0" xfId="0" applyNumberFormat="1" applyFont="1"/>
    <xf numFmtId="4" fontId="3" fillId="0" borderId="0" xfId="0" applyNumberFormat="1" applyFont="1"/>
    <xf numFmtId="3" fontId="3" fillId="0" borderId="0" xfId="0" applyNumberFormat="1" applyFont="1"/>
    <xf numFmtId="4" fontId="7" fillId="0" borderId="0" xfId="0" applyNumberFormat="1" applyFont="1" applyAlignment="1">
      <alignment horizontal="center" vertical="top"/>
    </xf>
    <xf numFmtId="1" fontId="7" fillId="0" borderId="0" xfId="0" applyNumberFormat="1" applyFont="1" applyAlignment="1">
      <alignment horizontal="center"/>
    </xf>
    <xf numFmtId="2" fontId="3" fillId="0" borderId="0" xfId="0" applyNumberFormat="1" applyFont="1"/>
    <xf numFmtId="9" fontId="3" fillId="0" borderId="0" xfId="0" applyNumberFormat="1" applyFont="1"/>
    <xf numFmtId="0" fontId="4" fillId="0" borderId="0" xfId="0" applyFont="1"/>
    <xf numFmtId="10" fontId="3" fillId="0" borderId="0" xfId="0" applyNumberFormat="1" applyFont="1"/>
    <xf numFmtId="2" fontId="4" fillId="0" borderId="0" xfId="0" applyNumberFormat="1" applyFont="1"/>
    <xf numFmtId="0" fontId="5" fillId="0" borderId="0" xfId="0" applyFont="1" applyAlignment="1">
      <alignment wrapText="1"/>
    </xf>
    <xf numFmtId="0" fontId="13" fillId="0" borderId="0" xfId="0" applyFont="1" applyAlignment="1">
      <alignment wrapText="1"/>
    </xf>
    <xf numFmtId="3" fontId="4" fillId="0" borderId="0" xfId="0" applyNumberFormat="1" applyFont="1"/>
    <xf numFmtId="1" fontId="3" fillId="0" borderId="0" xfId="0" applyNumberFormat="1" applyFont="1"/>
    <xf numFmtId="0" fontId="3" fillId="0" borderId="0" xfId="0" applyFont="1" applyAlignment="1">
      <alignment horizontal="right" vertical="top" wrapText="1"/>
    </xf>
    <xf numFmtId="2" fontId="5" fillId="0" borderId="0" xfId="0" applyNumberFormat="1" applyFont="1"/>
    <xf numFmtId="0" fontId="12" fillId="0" borderId="0" xfId="0" applyFont="1" applyAlignment="1">
      <alignment horizontal="left" vertical="top" wrapText="1"/>
    </xf>
    <xf numFmtId="0" fontId="15" fillId="0" borderId="4" xfId="0" applyFont="1" applyBorder="1" applyAlignment="1">
      <alignment horizontal="center" vertical="top"/>
    </xf>
    <xf numFmtId="49" fontId="15" fillId="0" borderId="4" xfId="0" applyNumberFormat="1" applyFont="1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49" fontId="0" fillId="0" borderId="14" xfId="0" applyNumberFormat="1" applyBorder="1" applyAlignment="1">
      <alignment horizontal="center" vertical="top"/>
    </xf>
    <xf numFmtId="0" fontId="0" fillId="0" borderId="15" xfId="0" applyBorder="1" applyAlignment="1">
      <alignment horizontal="center" vertical="top"/>
    </xf>
    <xf numFmtId="2" fontId="0" fillId="0" borderId="16" xfId="0" applyNumberFormat="1" applyBorder="1" applyAlignment="1">
      <alignment horizontal="center" vertical="top"/>
    </xf>
    <xf numFmtId="2" fontId="0" fillId="0" borderId="18" xfId="0" applyNumberFormat="1" applyBorder="1" applyAlignment="1">
      <alignment horizontal="center" vertical="top"/>
    </xf>
    <xf numFmtId="0" fontId="0" fillId="0" borderId="0" xfId="0" applyAlignment="1">
      <alignment horizontal="center" vertical="top"/>
    </xf>
    <xf numFmtId="2" fontId="0" fillId="0" borderId="0" xfId="0" applyNumberFormat="1" applyAlignment="1">
      <alignment horizontal="center" vertical="top"/>
    </xf>
    <xf numFmtId="0" fontId="0" fillId="0" borderId="0" xfId="0" applyAlignment="1"/>
    <xf numFmtId="0" fontId="0" fillId="0" borderId="13" xfId="0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17" xfId="0" applyBorder="1" applyAlignment="1">
      <alignment horizontal="center" vertical="top"/>
    </xf>
    <xf numFmtId="166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20</xdr:col>
      <xdr:colOff>163649</xdr:colOff>
      <xdr:row>37</xdr:row>
      <xdr:rowOff>10457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2355649" cy="6677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15</xdr:col>
      <xdr:colOff>534751</xdr:colOff>
      <xdr:row>69</xdr:row>
      <xdr:rowOff>58009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239000"/>
          <a:ext cx="9678751" cy="6154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11</xdr:col>
      <xdr:colOff>553405</xdr:colOff>
      <xdr:row>102</xdr:row>
      <xdr:rowOff>48323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668500"/>
          <a:ext cx="6839905" cy="5001323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5</xdr:row>
      <xdr:rowOff>0</xdr:rowOff>
    </xdr:from>
    <xdr:to>
      <xdr:col>59</xdr:col>
      <xdr:colOff>515778</xdr:colOff>
      <xdr:row>42</xdr:row>
      <xdr:rowOff>181984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03000" y="1143000"/>
          <a:ext cx="10231278" cy="7230484"/>
        </a:xfrm>
        <a:prstGeom prst="rect">
          <a:avLst/>
        </a:prstGeom>
      </xdr:spPr>
    </xdr:pic>
    <xdr:clientData/>
  </xdr:twoCellAnchor>
  <xdr:twoCellAnchor editAs="oneCell">
    <xdr:from>
      <xdr:col>104</xdr:col>
      <xdr:colOff>0</xdr:colOff>
      <xdr:row>13</xdr:row>
      <xdr:rowOff>0</xdr:rowOff>
    </xdr:from>
    <xdr:to>
      <xdr:col>122</xdr:col>
      <xdr:colOff>296752</xdr:colOff>
      <xdr:row>51</xdr:row>
      <xdr:rowOff>143905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436000" y="2667000"/>
          <a:ext cx="10583752" cy="7382905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51</xdr:row>
      <xdr:rowOff>0</xdr:rowOff>
    </xdr:from>
    <xdr:to>
      <xdr:col>62</xdr:col>
      <xdr:colOff>363676</xdr:colOff>
      <xdr:row>87</xdr:row>
      <xdr:rowOff>162905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431500" y="9906000"/>
          <a:ext cx="12365176" cy="7020905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95</xdr:row>
      <xdr:rowOff>0</xdr:rowOff>
    </xdr:from>
    <xdr:to>
      <xdr:col>62</xdr:col>
      <xdr:colOff>449413</xdr:colOff>
      <xdr:row>130</xdr:row>
      <xdr:rowOff>181931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431500" y="18288000"/>
          <a:ext cx="12450913" cy="6849431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136</xdr:row>
      <xdr:rowOff>0</xdr:rowOff>
    </xdr:from>
    <xdr:to>
      <xdr:col>63</xdr:col>
      <xdr:colOff>287465</xdr:colOff>
      <xdr:row>172</xdr:row>
      <xdr:rowOff>181957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03000" y="26098500"/>
          <a:ext cx="12288965" cy="7039957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176</xdr:row>
      <xdr:rowOff>0</xdr:rowOff>
    </xdr:from>
    <xdr:to>
      <xdr:col>63</xdr:col>
      <xdr:colOff>344623</xdr:colOff>
      <xdr:row>209</xdr:row>
      <xdr:rowOff>105667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03000" y="33718500"/>
          <a:ext cx="12346123" cy="6392167"/>
        </a:xfrm>
        <a:prstGeom prst="rect">
          <a:avLst/>
        </a:prstGeom>
      </xdr:spPr>
    </xdr:pic>
    <xdr:clientData/>
  </xdr:twoCellAnchor>
  <xdr:twoCellAnchor editAs="oneCell">
    <xdr:from>
      <xdr:col>105</xdr:col>
      <xdr:colOff>0</xdr:colOff>
      <xdr:row>61</xdr:row>
      <xdr:rowOff>0</xdr:rowOff>
    </xdr:from>
    <xdr:to>
      <xdr:col>128</xdr:col>
      <xdr:colOff>306677</xdr:colOff>
      <xdr:row>94</xdr:row>
      <xdr:rowOff>19930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007500" y="11811000"/>
          <a:ext cx="13451177" cy="6306430"/>
        </a:xfrm>
        <a:prstGeom prst="rect">
          <a:avLst/>
        </a:prstGeom>
      </xdr:spPr>
    </xdr:pic>
    <xdr:clientData/>
  </xdr:twoCellAnchor>
  <xdr:twoCellAnchor editAs="oneCell">
    <xdr:from>
      <xdr:col>105</xdr:col>
      <xdr:colOff>0</xdr:colOff>
      <xdr:row>102</xdr:row>
      <xdr:rowOff>0</xdr:rowOff>
    </xdr:from>
    <xdr:to>
      <xdr:col>128</xdr:col>
      <xdr:colOff>192361</xdr:colOff>
      <xdr:row>134</xdr:row>
      <xdr:rowOff>67535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007500" y="19621500"/>
          <a:ext cx="13336861" cy="6163535"/>
        </a:xfrm>
        <a:prstGeom prst="rect">
          <a:avLst/>
        </a:prstGeom>
      </xdr:spPr>
    </xdr:pic>
    <xdr:clientData/>
  </xdr:twoCellAnchor>
  <xdr:twoCellAnchor editAs="oneCell">
    <xdr:from>
      <xdr:col>104</xdr:col>
      <xdr:colOff>0</xdr:colOff>
      <xdr:row>144</xdr:row>
      <xdr:rowOff>0</xdr:rowOff>
    </xdr:from>
    <xdr:to>
      <xdr:col>122</xdr:col>
      <xdr:colOff>49067</xdr:colOff>
      <xdr:row>171</xdr:row>
      <xdr:rowOff>181718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9436000" y="27622500"/>
          <a:ext cx="10336067" cy="5325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82" zoomScale="160" zoomScaleNormal="160" workbookViewId="0"/>
  </sheetViews>
  <sheetFormatPr defaultRowHeight="15" x14ac:dyDescent="0.25"/>
  <sheetData>
    <row r="1" spans="1:1" ht="30" x14ac:dyDescent="0.25">
      <c r="A1" s="1" t="s"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tabSelected="1" workbookViewId="0">
      <selection activeCell="H26" sqref="H26"/>
    </sheetView>
  </sheetViews>
  <sheetFormatPr defaultRowHeight="15" x14ac:dyDescent="0.25"/>
  <cols>
    <col min="1" max="1" width="12.5703125" bestFit="1" customWidth="1"/>
    <col min="2" max="2" width="15.28515625" bestFit="1" customWidth="1"/>
    <col min="3" max="3" width="10" bestFit="1" customWidth="1"/>
    <col min="4" max="4" width="11.5703125" bestFit="1" customWidth="1"/>
    <col min="6" max="6" width="10.5703125" bestFit="1" customWidth="1"/>
    <col min="7" max="7" width="12.5703125" bestFit="1" customWidth="1"/>
    <col min="10" max="10" width="10" bestFit="1" customWidth="1"/>
    <col min="11" max="13" width="12.5703125" bestFit="1" customWidth="1"/>
    <col min="14" max="14" width="40.140625" customWidth="1"/>
    <col min="17" max="17" width="12.5703125" bestFit="1" customWidth="1"/>
  </cols>
  <sheetData>
    <row r="1" spans="1:17" ht="15.75" thickBot="1" x14ac:dyDescent="0.3">
      <c r="A1" t="s">
        <v>1</v>
      </c>
      <c r="F1" s="2" t="s">
        <v>35</v>
      </c>
      <c r="G1" s="2">
        <v>894</v>
      </c>
      <c r="H1" s="2"/>
      <c r="I1" s="2"/>
      <c r="J1" s="2">
        <v>3800</v>
      </c>
      <c r="K1" s="2"/>
      <c r="L1" s="2"/>
      <c r="M1" s="76" t="s">
        <v>41</v>
      </c>
      <c r="N1" s="76" t="s">
        <v>42</v>
      </c>
      <c r="O1" s="77" t="s">
        <v>43</v>
      </c>
      <c r="P1" s="85"/>
    </row>
    <row r="2" spans="1:17" x14ac:dyDescent="0.25">
      <c r="A2" s="2">
        <v>3000000</v>
      </c>
      <c r="F2" s="2" t="s">
        <v>12</v>
      </c>
      <c r="G2" s="2">
        <v>3800</v>
      </c>
      <c r="H2" s="2"/>
      <c r="I2" s="2"/>
      <c r="J2" s="2">
        <v>2000</v>
      </c>
      <c r="K2" s="2"/>
      <c r="L2" s="2"/>
      <c r="M2" s="78"/>
      <c r="N2" s="86"/>
      <c r="O2" s="79"/>
      <c r="P2" s="85"/>
    </row>
    <row r="3" spans="1:17" x14ac:dyDescent="0.25">
      <c r="F3" s="2" t="s">
        <v>36</v>
      </c>
      <c r="G3" s="2">
        <f>G2*G1</f>
        <v>3397200</v>
      </c>
      <c r="H3" s="2"/>
      <c r="I3" s="2"/>
      <c r="J3" s="2">
        <f>J1-J2</f>
        <v>1800</v>
      </c>
      <c r="K3" s="2"/>
      <c r="L3" s="2"/>
      <c r="M3" s="80">
        <v>1</v>
      </c>
      <c r="N3" s="87" t="s">
        <v>44</v>
      </c>
      <c r="O3" s="81">
        <v>5</v>
      </c>
      <c r="P3" s="85">
        <v>5</v>
      </c>
    </row>
    <row r="4" spans="1:17" x14ac:dyDescent="0.25">
      <c r="A4" t="s">
        <v>2</v>
      </c>
      <c r="B4">
        <v>58.56</v>
      </c>
      <c r="C4">
        <f>B4*10.764</f>
        <v>630.33983999999998</v>
      </c>
      <c r="F4" s="2" t="s">
        <v>37</v>
      </c>
      <c r="G4" s="2">
        <f>G3*95%</f>
        <v>3227340</v>
      </c>
      <c r="M4" s="80">
        <v>2</v>
      </c>
      <c r="N4" s="87" t="s">
        <v>45</v>
      </c>
      <c r="O4" s="81">
        <v>5</v>
      </c>
      <c r="P4" s="85">
        <v>5</v>
      </c>
    </row>
    <row r="5" spans="1:17" x14ac:dyDescent="0.25">
      <c r="F5" s="2" t="s">
        <v>38</v>
      </c>
      <c r="G5" s="2">
        <f>G3*80%</f>
        <v>2717760</v>
      </c>
      <c r="J5" s="2">
        <v>22660</v>
      </c>
      <c r="M5" s="80">
        <v>3</v>
      </c>
      <c r="N5" s="87" t="s">
        <v>46</v>
      </c>
      <c r="O5" s="81">
        <v>40</v>
      </c>
      <c r="P5" s="85">
        <v>40</v>
      </c>
    </row>
    <row r="6" spans="1:17" x14ac:dyDescent="0.25">
      <c r="A6" t="s">
        <v>3</v>
      </c>
      <c r="B6">
        <v>41.49</v>
      </c>
      <c r="C6">
        <f t="shared" ref="C6:C8" si="0">B6*10.764</f>
        <v>446.59836000000001</v>
      </c>
      <c r="D6">
        <v>447</v>
      </c>
      <c r="G6" s="2"/>
      <c r="J6" s="89">
        <f>J5/10.764</f>
        <v>2105.1653660349316</v>
      </c>
      <c r="M6" s="80">
        <v>4</v>
      </c>
      <c r="N6" s="87" t="s">
        <v>47</v>
      </c>
      <c r="O6" s="81">
        <v>7</v>
      </c>
      <c r="P6" s="85">
        <v>7</v>
      </c>
    </row>
    <row r="7" spans="1:17" x14ac:dyDescent="0.25">
      <c r="A7" t="s">
        <v>4</v>
      </c>
      <c r="B7">
        <v>41.49</v>
      </c>
      <c r="C7">
        <f t="shared" si="0"/>
        <v>446.59836000000001</v>
      </c>
      <c r="D7">
        <v>447</v>
      </c>
      <c r="F7" s="2" t="s">
        <v>39</v>
      </c>
      <c r="G7" s="2">
        <f>894*2000</f>
        <v>1788000</v>
      </c>
      <c r="M7" s="80">
        <v>5</v>
      </c>
      <c r="N7" s="87" t="s">
        <v>48</v>
      </c>
      <c r="O7" s="81">
        <v>7</v>
      </c>
      <c r="P7" s="85">
        <v>7</v>
      </c>
    </row>
    <row r="8" spans="1:17" x14ac:dyDescent="0.25">
      <c r="B8">
        <f>SUM(B6:B7)</f>
        <v>82.98</v>
      </c>
      <c r="C8">
        <f t="shared" si="0"/>
        <v>893.19672000000003</v>
      </c>
      <c r="D8" s="3">
        <f>SUM(D6:D7)</f>
        <v>894</v>
      </c>
      <c r="G8" s="2"/>
      <c r="M8" s="80">
        <v>6</v>
      </c>
      <c r="N8" s="87" t="s">
        <v>49</v>
      </c>
      <c r="O8" s="81">
        <v>3.5</v>
      </c>
      <c r="P8" s="85">
        <v>3.5</v>
      </c>
      <c r="Q8" s="2"/>
    </row>
    <row r="9" spans="1:17" x14ac:dyDescent="0.25">
      <c r="F9" s="2" t="s">
        <v>40</v>
      </c>
      <c r="G9" s="2">
        <f>894*2105</f>
        <v>1881870</v>
      </c>
      <c r="K9" s="2"/>
      <c r="L9" s="2"/>
      <c r="M9" s="80">
        <v>7</v>
      </c>
      <c r="N9" s="87" t="s">
        <v>50</v>
      </c>
      <c r="O9" s="81">
        <v>3.5</v>
      </c>
      <c r="P9" s="85">
        <v>3.5</v>
      </c>
      <c r="Q9" s="2"/>
    </row>
    <row r="10" spans="1:17" x14ac:dyDescent="0.25">
      <c r="A10" t="s">
        <v>3</v>
      </c>
      <c r="G10" s="2"/>
      <c r="K10" s="2"/>
      <c r="L10" s="2"/>
      <c r="M10" s="80">
        <v>8</v>
      </c>
      <c r="N10" s="87" t="s">
        <v>51</v>
      </c>
      <c r="O10" s="81">
        <v>5</v>
      </c>
      <c r="P10" s="85"/>
      <c r="Q10" s="2"/>
    </row>
    <row r="11" spans="1:17" x14ac:dyDescent="0.25">
      <c r="A11">
        <v>16.600000000000001</v>
      </c>
      <c r="B11">
        <v>13.1</v>
      </c>
      <c r="C11">
        <f>A11*B11</f>
        <v>217.46</v>
      </c>
      <c r="F11" t="s">
        <v>34</v>
      </c>
      <c r="G11" s="2">
        <f>G3*0.025/12</f>
        <v>7077.5</v>
      </c>
      <c r="M11" s="80">
        <v>9</v>
      </c>
      <c r="N11" s="87" t="s">
        <v>52</v>
      </c>
      <c r="O11" s="81">
        <v>5</v>
      </c>
      <c r="P11" s="85">
        <v>5</v>
      </c>
    </row>
    <row r="12" spans="1:17" x14ac:dyDescent="0.25">
      <c r="A12">
        <v>12.3</v>
      </c>
      <c r="B12">
        <v>13.2</v>
      </c>
      <c r="C12">
        <f t="shared" ref="C12:C31" si="1">A12*B12</f>
        <v>162.36000000000001</v>
      </c>
      <c r="M12" s="80"/>
      <c r="N12" s="87" t="s">
        <v>53</v>
      </c>
      <c r="O12" s="81">
        <v>5</v>
      </c>
      <c r="P12" s="85">
        <v>5</v>
      </c>
    </row>
    <row r="13" spans="1:17" x14ac:dyDescent="0.25">
      <c r="A13">
        <v>6.2</v>
      </c>
      <c r="B13">
        <v>4.0999999999999996</v>
      </c>
      <c r="C13">
        <f t="shared" si="1"/>
        <v>25.419999999999998</v>
      </c>
      <c r="M13" s="80">
        <v>10</v>
      </c>
      <c r="N13" s="87" t="s">
        <v>54</v>
      </c>
      <c r="O13" s="81">
        <v>1.5</v>
      </c>
      <c r="P13" s="85"/>
    </row>
    <row r="14" spans="1:17" x14ac:dyDescent="0.25">
      <c r="A14">
        <v>8.1999999999999993</v>
      </c>
      <c r="B14">
        <v>4.0999999999999996</v>
      </c>
      <c r="C14">
        <f t="shared" si="1"/>
        <v>33.619999999999997</v>
      </c>
      <c r="M14" s="80">
        <v>11</v>
      </c>
      <c r="N14" s="87" t="s">
        <v>55</v>
      </c>
      <c r="O14" s="81">
        <v>1.5</v>
      </c>
      <c r="P14" s="85"/>
    </row>
    <row r="15" spans="1:17" x14ac:dyDescent="0.25">
      <c r="A15">
        <v>8.3000000000000007</v>
      </c>
      <c r="B15">
        <v>3.1</v>
      </c>
      <c r="C15">
        <f t="shared" si="1"/>
        <v>25.730000000000004</v>
      </c>
      <c r="M15" s="80">
        <v>12</v>
      </c>
      <c r="N15" s="87" t="s">
        <v>56</v>
      </c>
      <c r="O15" s="81">
        <v>2.5</v>
      </c>
      <c r="P15" s="85">
        <v>2.5</v>
      </c>
    </row>
    <row r="16" spans="1:17" x14ac:dyDescent="0.25">
      <c r="C16" s="3">
        <f>SUM(C11:C15)</f>
        <v>464.59000000000009</v>
      </c>
      <c r="M16" s="80"/>
      <c r="N16" s="87" t="s">
        <v>57</v>
      </c>
      <c r="O16" s="81">
        <v>2.5</v>
      </c>
      <c r="P16" s="85"/>
    </row>
    <row r="17" spans="1:16" x14ac:dyDescent="0.25">
      <c r="M17" s="80">
        <v>13</v>
      </c>
      <c r="N17" s="87" t="s">
        <v>58</v>
      </c>
      <c r="O17" s="81">
        <v>2</v>
      </c>
      <c r="P17" s="85"/>
    </row>
    <row r="18" spans="1:16" x14ac:dyDescent="0.25">
      <c r="M18" s="80">
        <v>14</v>
      </c>
      <c r="N18" s="87" t="s">
        <v>59</v>
      </c>
      <c r="O18" s="81">
        <v>2</v>
      </c>
      <c r="P18" s="85"/>
    </row>
    <row r="19" spans="1:16" ht="15.75" thickBot="1" x14ac:dyDescent="0.3">
      <c r="A19" t="s">
        <v>4</v>
      </c>
      <c r="M19" s="80">
        <v>15</v>
      </c>
      <c r="N19" s="88" t="s">
        <v>60</v>
      </c>
      <c r="O19" s="82">
        <v>2</v>
      </c>
      <c r="P19" s="85"/>
    </row>
    <row r="20" spans="1:16" x14ac:dyDescent="0.25">
      <c r="A20">
        <v>12.6</v>
      </c>
      <c r="B20">
        <v>11</v>
      </c>
      <c r="C20">
        <f t="shared" si="1"/>
        <v>138.6</v>
      </c>
      <c r="M20" s="83"/>
      <c r="N20" s="83"/>
      <c r="O20" s="84">
        <f>SUM(O3:O19)</f>
        <v>100</v>
      </c>
      <c r="P20" s="85">
        <f>SUM(P3:P19)</f>
        <v>83.5</v>
      </c>
    </row>
    <row r="21" spans="1:16" x14ac:dyDescent="0.25">
      <c r="A21">
        <v>10.6</v>
      </c>
      <c r="B21">
        <v>11</v>
      </c>
      <c r="C21">
        <f t="shared" si="1"/>
        <v>116.6</v>
      </c>
    </row>
    <row r="22" spans="1:16" x14ac:dyDescent="0.25">
      <c r="A22">
        <v>4.0999999999999996</v>
      </c>
      <c r="B22">
        <v>4.4000000000000004</v>
      </c>
      <c r="C22">
        <f t="shared" si="1"/>
        <v>18.04</v>
      </c>
      <c r="H22">
        <v>4910</v>
      </c>
    </row>
    <row r="23" spans="1:16" x14ac:dyDescent="0.25">
      <c r="A23">
        <v>6.2</v>
      </c>
      <c r="B23">
        <v>4.5999999999999996</v>
      </c>
      <c r="C23">
        <f t="shared" si="1"/>
        <v>28.52</v>
      </c>
      <c r="H23">
        <v>3548</v>
      </c>
    </row>
    <row r="24" spans="1:16" x14ac:dyDescent="0.25">
      <c r="A24">
        <v>16.399999999999999</v>
      </c>
      <c r="B24">
        <v>3.1</v>
      </c>
      <c r="C24">
        <f t="shared" si="1"/>
        <v>50.839999999999996</v>
      </c>
      <c r="H24">
        <f>AVERAGE(H22:H23)</f>
        <v>4229</v>
      </c>
    </row>
    <row r="25" spans="1:16" x14ac:dyDescent="0.25">
      <c r="C25" s="3">
        <f>SUM(C20:C24)</f>
        <v>352.59999999999997</v>
      </c>
      <c r="H25">
        <f>H24/1.2</f>
        <v>3524.166666666667</v>
      </c>
    </row>
    <row r="26" spans="1:16" x14ac:dyDescent="0.25">
      <c r="A26" t="s">
        <v>5</v>
      </c>
    </row>
    <row r="27" spans="1:16" x14ac:dyDescent="0.25">
      <c r="A27">
        <v>11</v>
      </c>
      <c r="B27">
        <v>4.0999999999999996</v>
      </c>
      <c r="C27" s="3">
        <f t="shared" si="1"/>
        <v>45.099999999999994</v>
      </c>
    </row>
    <row r="29" spans="1:16" x14ac:dyDescent="0.25">
      <c r="A29" t="s">
        <v>6</v>
      </c>
    </row>
    <row r="30" spans="1:16" x14ac:dyDescent="0.25">
      <c r="A30">
        <v>13.6</v>
      </c>
      <c r="B30">
        <v>13.1</v>
      </c>
      <c r="C30">
        <f t="shared" si="1"/>
        <v>178.16</v>
      </c>
    </row>
    <row r="31" spans="1:16" x14ac:dyDescent="0.25">
      <c r="A31">
        <v>13.2</v>
      </c>
      <c r="B31">
        <v>5.0999999999999996</v>
      </c>
      <c r="C31">
        <f t="shared" si="1"/>
        <v>67.319999999999993</v>
      </c>
    </row>
    <row r="32" spans="1:16" x14ac:dyDescent="0.25">
      <c r="C32" s="3">
        <f>SUM(C30:C31)</f>
        <v>245.48</v>
      </c>
    </row>
    <row r="38" spans="1:4" x14ac:dyDescent="0.25">
      <c r="A38" t="s">
        <v>7</v>
      </c>
      <c r="C38" t="s">
        <v>8</v>
      </c>
      <c r="D38" t="s">
        <v>9</v>
      </c>
    </row>
    <row r="39" spans="1:4" x14ac:dyDescent="0.25">
      <c r="A39">
        <v>56676.58</v>
      </c>
      <c r="B39" s="2">
        <v>140000000</v>
      </c>
      <c r="C39" s="2">
        <f>B39/A39</f>
        <v>2470.1561032793438</v>
      </c>
      <c r="D39" s="4">
        <f>C39/10.764</f>
        <v>229.48310138232478</v>
      </c>
    </row>
    <row r="40" spans="1:4" x14ac:dyDescent="0.25">
      <c r="A40">
        <v>8096.65</v>
      </c>
      <c r="B40" s="2">
        <v>3000000</v>
      </c>
      <c r="C40" s="2">
        <f t="shared" ref="C40:C47" si="2">B40/A40</f>
        <v>370.52361161715032</v>
      </c>
      <c r="D40" s="4">
        <f t="shared" ref="D40:D47" si="3">C40/10.764</f>
        <v>34.422483427828908</v>
      </c>
    </row>
    <row r="41" spans="1:4" x14ac:dyDescent="0.25">
      <c r="A41">
        <v>48579.93</v>
      </c>
      <c r="B41" s="2">
        <v>25000000</v>
      </c>
      <c r="C41" s="2">
        <f t="shared" si="2"/>
        <v>514.61580945052822</v>
      </c>
      <c r="D41" s="4">
        <f t="shared" si="3"/>
        <v>47.808975236949856</v>
      </c>
    </row>
    <row r="42" spans="1:4" x14ac:dyDescent="0.25">
      <c r="A42">
        <v>5566.45</v>
      </c>
      <c r="B42" s="2">
        <v>50000000</v>
      </c>
      <c r="C42" s="2">
        <f t="shared" si="2"/>
        <v>8982.3855419522315</v>
      </c>
      <c r="D42" s="4">
        <f t="shared" si="3"/>
        <v>834.48397825643178</v>
      </c>
    </row>
    <row r="43" spans="1:4" x14ac:dyDescent="0.25">
      <c r="A43">
        <v>50</v>
      </c>
      <c r="B43" s="2">
        <v>750000</v>
      </c>
      <c r="C43" s="2">
        <f t="shared" si="2"/>
        <v>15000</v>
      </c>
      <c r="D43" s="4">
        <f t="shared" si="3"/>
        <v>1393.5340022296546</v>
      </c>
    </row>
    <row r="44" spans="1:4" x14ac:dyDescent="0.25">
      <c r="B44" s="2"/>
      <c r="C44" s="2" t="e">
        <f t="shared" si="2"/>
        <v>#DIV/0!</v>
      </c>
      <c r="D44" s="4" t="e">
        <f t="shared" si="3"/>
        <v>#DIV/0!</v>
      </c>
    </row>
    <row r="45" spans="1:4" x14ac:dyDescent="0.25">
      <c r="B45" s="2"/>
      <c r="C45" s="2" t="e">
        <f t="shared" si="2"/>
        <v>#DIV/0!</v>
      </c>
      <c r="D45" s="4" t="e">
        <f t="shared" si="3"/>
        <v>#DIV/0!</v>
      </c>
    </row>
    <row r="46" spans="1:4" x14ac:dyDescent="0.25">
      <c r="B46" s="2"/>
      <c r="C46" s="2" t="e">
        <f t="shared" si="2"/>
        <v>#DIV/0!</v>
      </c>
      <c r="D46" s="4" t="e">
        <f t="shared" si="3"/>
        <v>#DIV/0!</v>
      </c>
    </row>
    <row r="47" spans="1:4" x14ac:dyDescent="0.25">
      <c r="B47" s="2"/>
      <c r="C47" s="2" t="e">
        <f t="shared" si="2"/>
        <v>#DIV/0!</v>
      </c>
      <c r="D47" s="4" t="e">
        <f t="shared" si="3"/>
        <v>#DIV/0!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workbookViewId="0">
      <selection activeCell="C3" sqref="C3"/>
    </sheetView>
  </sheetViews>
  <sheetFormatPr defaultRowHeight="15" x14ac:dyDescent="0.25"/>
  <cols>
    <col min="3" max="3" width="12" bestFit="1" customWidth="1"/>
    <col min="12" max="13" width="11.28515625" bestFit="1" customWidth="1"/>
  </cols>
  <sheetData>
    <row r="1" spans="1:14" ht="33" x14ac:dyDescent="0.3">
      <c r="A1" s="5"/>
      <c r="B1" s="6" t="s">
        <v>10</v>
      </c>
      <c r="C1" s="7"/>
      <c r="D1" s="7"/>
      <c r="E1" s="7"/>
      <c r="F1" s="8"/>
      <c r="G1" s="8"/>
      <c r="H1" s="8"/>
      <c r="I1" s="7"/>
      <c r="J1" s="8">
        <f>90/60*22</f>
        <v>33</v>
      </c>
      <c r="K1" s="7"/>
      <c r="L1" s="8"/>
      <c r="M1" s="8"/>
      <c r="N1" s="8"/>
    </row>
    <row r="2" spans="1:14" ht="16.5" x14ac:dyDescent="0.3">
      <c r="A2" s="5"/>
      <c r="B2" s="9" t="s">
        <v>11</v>
      </c>
      <c r="C2" s="7">
        <v>58.56</v>
      </c>
      <c r="D2" s="7"/>
      <c r="E2" s="10"/>
      <c r="F2" s="10"/>
      <c r="G2" s="11"/>
      <c r="H2" s="7"/>
      <c r="I2" s="7"/>
      <c r="J2" s="8"/>
      <c r="K2" s="7"/>
      <c r="L2" s="8"/>
      <c r="M2" s="8"/>
      <c r="N2" s="8"/>
    </row>
    <row r="3" spans="1:14" ht="16.5" x14ac:dyDescent="0.3">
      <c r="A3" s="5"/>
      <c r="B3" s="12" t="s">
        <v>12</v>
      </c>
      <c r="C3" s="13">
        <v>15000</v>
      </c>
      <c r="D3" s="14"/>
      <c r="E3" s="15"/>
      <c r="F3" s="15"/>
      <c r="G3" s="16"/>
      <c r="H3" s="7"/>
      <c r="I3" s="7"/>
      <c r="J3" s="8"/>
      <c r="K3" s="7"/>
      <c r="L3" s="8"/>
      <c r="M3" s="8"/>
      <c r="N3" s="8"/>
    </row>
    <row r="4" spans="1:14" ht="16.5" x14ac:dyDescent="0.3">
      <c r="A4" s="5"/>
      <c r="B4" s="17" t="s">
        <v>13</v>
      </c>
      <c r="C4" s="18">
        <f>ROUND((C2*C3),0)</f>
        <v>878400</v>
      </c>
      <c r="D4" s="7"/>
      <c r="E4" s="7"/>
      <c r="F4" s="19"/>
      <c r="G4" s="19"/>
      <c r="H4" s="8"/>
      <c r="I4" s="7"/>
      <c r="J4" s="8"/>
      <c r="K4" s="7"/>
      <c r="L4" s="8"/>
      <c r="M4" s="8"/>
      <c r="N4" s="8"/>
    </row>
    <row r="5" spans="1:14" ht="33" x14ac:dyDescent="0.3">
      <c r="A5" s="5"/>
      <c r="B5" s="6" t="s">
        <v>14</v>
      </c>
      <c r="C5" s="7"/>
      <c r="D5" s="7"/>
      <c r="E5" s="7"/>
      <c r="F5" s="8"/>
      <c r="G5" s="8"/>
      <c r="H5" s="8"/>
      <c r="I5" s="7"/>
      <c r="J5" s="8"/>
      <c r="K5" s="7"/>
      <c r="L5" s="8"/>
      <c r="M5" s="8"/>
      <c r="N5" s="8"/>
    </row>
    <row r="6" spans="1:14" ht="90.75" thickBot="1" x14ac:dyDescent="0.3">
      <c r="A6" s="20"/>
      <c r="B6" s="21" t="s">
        <v>15</v>
      </c>
      <c r="C6" s="22" t="s">
        <v>16</v>
      </c>
      <c r="D6" s="22" t="s">
        <v>17</v>
      </c>
      <c r="E6" s="22" t="s">
        <v>18</v>
      </c>
      <c r="F6" s="22" t="s">
        <v>19</v>
      </c>
      <c r="G6" s="23" t="s">
        <v>20</v>
      </c>
      <c r="H6" s="24" t="s">
        <v>21</v>
      </c>
      <c r="I6" s="25" t="s">
        <v>22</v>
      </c>
      <c r="J6" s="25" t="s">
        <v>23</v>
      </c>
      <c r="K6" s="24" t="s">
        <v>24</v>
      </c>
      <c r="L6" s="24" t="s">
        <v>25</v>
      </c>
      <c r="M6" s="24" t="s">
        <v>26</v>
      </c>
      <c r="N6" s="20"/>
    </row>
    <row r="7" spans="1:14" ht="17.25" thickBot="1" x14ac:dyDescent="0.35">
      <c r="A7" s="5"/>
      <c r="B7" s="26" t="s">
        <v>27</v>
      </c>
      <c r="C7" s="27">
        <v>96.27</v>
      </c>
      <c r="D7" s="28">
        <v>2011</v>
      </c>
      <c r="E7" s="28">
        <v>2023</v>
      </c>
      <c r="F7" s="28">
        <v>60</v>
      </c>
      <c r="G7" s="29">
        <v>21000</v>
      </c>
      <c r="H7" s="30">
        <f>E7-D7</f>
        <v>12</v>
      </c>
      <c r="I7" s="31">
        <f>IF(H7&gt;=5,90*H7/F7,0)</f>
        <v>18</v>
      </c>
      <c r="J7" s="14">
        <f>G7/100*I7</f>
        <v>3780</v>
      </c>
      <c r="K7" s="14">
        <f>ROUND((G7-J7),0)</f>
        <v>17220</v>
      </c>
      <c r="L7" s="14">
        <f>ROUND((K7*C7),0)</f>
        <v>1657769</v>
      </c>
      <c r="M7" s="14">
        <f>ROUND((C7*G7),0)</f>
        <v>2021670</v>
      </c>
      <c r="N7" s="8"/>
    </row>
    <row r="8" spans="1:14" ht="17.25" thickBot="1" x14ac:dyDescent="0.35">
      <c r="A8" s="20"/>
      <c r="B8" s="26"/>
      <c r="C8" s="32">
        <v>0</v>
      </c>
      <c r="D8" s="28">
        <v>0</v>
      </c>
      <c r="E8" s="28">
        <v>2023</v>
      </c>
      <c r="F8" s="28">
        <v>60</v>
      </c>
      <c r="G8" s="33">
        <v>0</v>
      </c>
      <c r="H8" s="30">
        <f t="shared" ref="H8:H26" si="0">E8-D8</f>
        <v>2023</v>
      </c>
      <c r="I8" s="31">
        <f t="shared" ref="I8:I26" si="1">IF(H8&gt;=5,90*H8/F8,0)</f>
        <v>3034.5</v>
      </c>
      <c r="J8" s="14">
        <f t="shared" ref="J8:J26" si="2">G8/100*I8</f>
        <v>0</v>
      </c>
      <c r="K8" s="14">
        <f t="shared" ref="K8:K26" si="3">ROUND((G8-J8),0)</f>
        <v>0</v>
      </c>
      <c r="L8" s="14">
        <f t="shared" ref="L8:L26" si="4">ROUND((K8*C8),0)</f>
        <v>0</v>
      </c>
      <c r="M8" s="14">
        <f t="shared" ref="M8:M26" si="5">ROUND((C8*G8),0)</f>
        <v>0</v>
      </c>
      <c r="N8" s="8"/>
    </row>
    <row r="9" spans="1:14" ht="17.25" thickBot="1" x14ac:dyDescent="0.35">
      <c r="A9" s="5"/>
      <c r="B9" s="26"/>
      <c r="C9" s="32">
        <v>0</v>
      </c>
      <c r="D9" s="28">
        <v>0</v>
      </c>
      <c r="E9" s="28">
        <v>2023</v>
      </c>
      <c r="F9" s="28">
        <v>60</v>
      </c>
      <c r="G9" s="33">
        <v>0</v>
      </c>
      <c r="H9" s="30">
        <f t="shared" si="0"/>
        <v>2023</v>
      </c>
      <c r="I9" s="31">
        <f t="shared" si="1"/>
        <v>3034.5</v>
      </c>
      <c r="J9" s="14">
        <f t="shared" si="2"/>
        <v>0</v>
      </c>
      <c r="K9" s="14">
        <f t="shared" si="3"/>
        <v>0</v>
      </c>
      <c r="L9" s="14">
        <f t="shared" si="4"/>
        <v>0</v>
      </c>
      <c r="M9" s="14">
        <f t="shared" si="5"/>
        <v>0</v>
      </c>
      <c r="N9" s="34"/>
    </row>
    <row r="10" spans="1:14" ht="17.25" thickBot="1" x14ac:dyDescent="0.35">
      <c r="A10" s="20"/>
      <c r="B10" s="35"/>
      <c r="C10" s="32">
        <v>0</v>
      </c>
      <c r="D10" s="28">
        <v>0</v>
      </c>
      <c r="E10" s="28">
        <v>2023</v>
      </c>
      <c r="F10" s="28">
        <v>60</v>
      </c>
      <c r="G10" s="33">
        <v>0</v>
      </c>
      <c r="H10" s="30">
        <f t="shared" si="0"/>
        <v>2023</v>
      </c>
      <c r="I10" s="31">
        <f t="shared" si="1"/>
        <v>3034.5</v>
      </c>
      <c r="J10" s="14">
        <f t="shared" si="2"/>
        <v>0</v>
      </c>
      <c r="K10" s="14">
        <f t="shared" si="3"/>
        <v>0</v>
      </c>
      <c r="L10" s="14">
        <f t="shared" si="4"/>
        <v>0</v>
      </c>
      <c r="M10" s="14">
        <f t="shared" si="5"/>
        <v>0</v>
      </c>
      <c r="N10" s="36"/>
    </row>
    <row r="11" spans="1:14" ht="17.25" thickBot="1" x14ac:dyDescent="0.35">
      <c r="A11" s="5"/>
      <c r="B11" s="35"/>
      <c r="C11" s="32">
        <v>0</v>
      </c>
      <c r="D11" s="28">
        <v>0</v>
      </c>
      <c r="E11" s="28">
        <v>2023</v>
      </c>
      <c r="F11" s="28">
        <v>60</v>
      </c>
      <c r="G11" s="33">
        <v>0</v>
      </c>
      <c r="H11" s="30">
        <f t="shared" si="0"/>
        <v>2023</v>
      </c>
      <c r="I11" s="31">
        <f t="shared" si="1"/>
        <v>3034.5</v>
      </c>
      <c r="J11" s="14">
        <f t="shared" si="2"/>
        <v>0</v>
      </c>
      <c r="K11" s="14">
        <f t="shared" si="3"/>
        <v>0</v>
      </c>
      <c r="L11" s="14">
        <f t="shared" si="4"/>
        <v>0</v>
      </c>
      <c r="M11" s="14">
        <f t="shared" si="5"/>
        <v>0</v>
      </c>
      <c r="N11" s="36"/>
    </row>
    <row r="12" spans="1:14" ht="17.25" thickBot="1" x14ac:dyDescent="0.35">
      <c r="A12" s="5"/>
      <c r="B12" s="35"/>
      <c r="C12" s="32">
        <v>0</v>
      </c>
      <c r="D12" s="28">
        <v>0</v>
      </c>
      <c r="E12" s="28">
        <v>2023</v>
      </c>
      <c r="F12" s="28">
        <v>60</v>
      </c>
      <c r="G12" s="33">
        <v>0</v>
      </c>
      <c r="H12" s="30">
        <f t="shared" si="0"/>
        <v>2023</v>
      </c>
      <c r="I12" s="31">
        <f t="shared" si="1"/>
        <v>3034.5</v>
      </c>
      <c r="J12" s="14">
        <f t="shared" si="2"/>
        <v>0</v>
      </c>
      <c r="K12" s="14">
        <f t="shared" si="3"/>
        <v>0</v>
      </c>
      <c r="L12" s="14">
        <f t="shared" si="4"/>
        <v>0</v>
      </c>
      <c r="M12" s="14">
        <f t="shared" si="5"/>
        <v>0</v>
      </c>
      <c r="N12" s="36"/>
    </row>
    <row r="13" spans="1:14" ht="17.25" thickBot="1" x14ac:dyDescent="0.35">
      <c r="A13" s="20"/>
      <c r="B13" s="35"/>
      <c r="C13" s="37">
        <v>0</v>
      </c>
      <c r="D13" s="28">
        <v>0</v>
      </c>
      <c r="E13" s="28">
        <v>2023</v>
      </c>
      <c r="F13" s="28">
        <v>60</v>
      </c>
      <c r="G13" s="33">
        <v>0</v>
      </c>
      <c r="H13" s="30">
        <f t="shared" si="0"/>
        <v>2023</v>
      </c>
      <c r="I13" s="31">
        <f t="shared" si="1"/>
        <v>3034.5</v>
      </c>
      <c r="J13" s="14">
        <f t="shared" si="2"/>
        <v>0</v>
      </c>
      <c r="K13" s="14">
        <f t="shared" si="3"/>
        <v>0</v>
      </c>
      <c r="L13" s="14">
        <f t="shared" si="4"/>
        <v>0</v>
      </c>
      <c r="M13" s="14">
        <f t="shared" si="5"/>
        <v>0</v>
      </c>
      <c r="N13" s="36"/>
    </row>
    <row r="14" spans="1:14" ht="17.25" thickBot="1" x14ac:dyDescent="0.35">
      <c r="A14" s="20"/>
      <c r="B14" s="35"/>
      <c r="C14" s="37">
        <v>0</v>
      </c>
      <c r="D14" s="28">
        <v>0</v>
      </c>
      <c r="E14" s="28">
        <v>2023</v>
      </c>
      <c r="F14" s="28">
        <v>60</v>
      </c>
      <c r="G14" s="33">
        <v>0</v>
      </c>
      <c r="H14" s="30">
        <f t="shared" si="0"/>
        <v>2023</v>
      </c>
      <c r="I14" s="31">
        <f t="shared" si="1"/>
        <v>3034.5</v>
      </c>
      <c r="J14" s="14">
        <f t="shared" si="2"/>
        <v>0</v>
      </c>
      <c r="K14" s="14">
        <f t="shared" si="3"/>
        <v>0</v>
      </c>
      <c r="L14" s="14">
        <f t="shared" si="4"/>
        <v>0</v>
      </c>
      <c r="M14" s="14">
        <f t="shared" si="5"/>
        <v>0</v>
      </c>
      <c r="N14" s="36"/>
    </row>
    <row r="15" spans="1:14" ht="17.25" thickBot="1" x14ac:dyDescent="0.35">
      <c r="A15" s="5"/>
      <c r="B15" s="35"/>
      <c r="C15" s="37">
        <v>0</v>
      </c>
      <c r="D15" s="28">
        <v>0</v>
      </c>
      <c r="E15" s="28">
        <v>2023</v>
      </c>
      <c r="F15" s="28">
        <v>60</v>
      </c>
      <c r="G15" s="33">
        <v>0</v>
      </c>
      <c r="H15" s="30">
        <f t="shared" si="0"/>
        <v>2023</v>
      </c>
      <c r="I15" s="31">
        <f t="shared" si="1"/>
        <v>3034.5</v>
      </c>
      <c r="J15" s="14">
        <f t="shared" si="2"/>
        <v>0</v>
      </c>
      <c r="K15" s="14">
        <f t="shared" si="3"/>
        <v>0</v>
      </c>
      <c r="L15" s="14">
        <f t="shared" si="4"/>
        <v>0</v>
      </c>
      <c r="M15" s="14">
        <f t="shared" si="5"/>
        <v>0</v>
      </c>
      <c r="N15" s="36"/>
    </row>
    <row r="16" spans="1:14" ht="17.25" thickBot="1" x14ac:dyDescent="0.35">
      <c r="A16" s="20"/>
      <c r="B16" s="35"/>
      <c r="C16" s="37">
        <v>0</v>
      </c>
      <c r="D16" s="28">
        <v>0</v>
      </c>
      <c r="E16" s="28">
        <v>2023</v>
      </c>
      <c r="F16" s="28">
        <v>60</v>
      </c>
      <c r="G16" s="33">
        <v>0</v>
      </c>
      <c r="H16" s="30">
        <f t="shared" si="0"/>
        <v>2023</v>
      </c>
      <c r="I16" s="31">
        <f t="shared" si="1"/>
        <v>3034.5</v>
      </c>
      <c r="J16" s="14">
        <f t="shared" si="2"/>
        <v>0</v>
      </c>
      <c r="K16" s="14">
        <f t="shared" si="3"/>
        <v>0</v>
      </c>
      <c r="L16" s="14">
        <f t="shared" si="4"/>
        <v>0</v>
      </c>
      <c r="M16" s="14">
        <f t="shared" si="5"/>
        <v>0</v>
      </c>
      <c r="N16" s="36"/>
    </row>
    <row r="17" spans="1:14" ht="17.25" thickBot="1" x14ac:dyDescent="0.35">
      <c r="A17" s="5"/>
      <c r="B17" s="38"/>
      <c r="C17" s="37">
        <v>0</v>
      </c>
      <c r="D17" s="28">
        <v>0</v>
      </c>
      <c r="E17" s="28">
        <v>2023</v>
      </c>
      <c r="F17" s="28">
        <v>60</v>
      </c>
      <c r="G17" s="33">
        <v>0</v>
      </c>
      <c r="H17" s="30">
        <f t="shared" si="0"/>
        <v>2023</v>
      </c>
      <c r="I17" s="31">
        <f t="shared" si="1"/>
        <v>3034.5</v>
      </c>
      <c r="J17" s="14">
        <f t="shared" si="2"/>
        <v>0</v>
      </c>
      <c r="K17" s="14">
        <f t="shared" si="3"/>
        <v>0</v>
      </c>
      <c r="L17" s="14">
        <f t="shared" si="4"/>
        <v>0</v>
      </c>
      <c r="M17" s="14">
        <f t="shared" si="5"/>
        <v>0</v>
      </c>
      <c r="N17" s="36"/>
    </row>
    <row r="18" spans="1:14" ht="17.25" thickBot="1" x14ac:dyDescent="0.35">
      <c r="A18" s="20"/>
      <c r="B18" s="39"/>
      <c r="C18" s="37">
        <v>0</v>
      </c>
      <c r="D18" s="28">
        <v>0</v>
      </c>
      <c r="E18" s="28">
        <v>2023</v>
      </c>
      <c r="F18" s="28">
        <v>60</v>
      </c>
      <c r="G18" s="33">
        <v>0</v>
      </c>
      <c r="H18" s="30">
        <f t="shared" si="0"/>
        <v>2023</v>
      </c>
      <c r="I18" s="31">
        <f t="shared" si="1"/>
        <v>3034.5</v>
      </c>
      <c r="J18" s="14">
        <f t="shared" si="2"/>
        <v>0</v>
      </c>
      <c r="K18" s="14">
        <f t="shared" si="3"/>
        <v>0</v>
      </c>
      <c r="L18" s="14">
        <f t="shared" si="4"/>
        <v>0</v>
      </c>
      <c r="M18" s="14">
        <f t="shared" si="5"/>
        <v>0</v>
      </c>
      <c r="N18" s="36"/>
    </row>
    <row r="19" spans="1:14" ht="17.25" thickBot="1" x14ac:dyDescent="0.35">
      <c r="A19" s="5"/>
      <c r="B19" s="38"/>
      <c r="C19" s="37">
        <v>0</v>
      </c>
      <c r="D19" s="28">
        <v>0</v>
      </c>
      <c r="E19" s="28">
        <v>2023</v>
      </c>
      <c r="F19" s="28">
        <v>60</v>
      </c>
      <c r="G19" s="33">
        <v>0</v>
      </c>
      <c r="H19" s="30">
        <f t="shared" si="0"/>
        <v>2023</v>
      </c>
      <c r="I19" s="31">
        <f t="shared" si="1"/>
        <v>3034.5</v>
      </c>
      <c r="J19" s="14">
        <f t="shared" si="2"/>
        <v>0</v>
      </c>
      <c r="K19" s="14">
        <f t="shared" si="3"/>
        <v>0</v>
      </c>
      <c r="L19" s="14">
        <f t="shared" si="4"/>
        <v>0</v>
      </c>
      <c r="M19" s="14">
        <f t="shared" si="5"/>
        <v>0</v>
      </c>
      <c r="N19" s="36"/>
    </row>
    <row r="20" spans="1:14" ht="17.25" thickBot="1" x14ac:dyDescent="0.35">
      <c r="A20" s="20"/>
      <c r="B20" s="39"/>
      <c r="C20" s="37">
        <v>0</v>
      </c>
      <c r="D20" s="28">
        <v>0</v>
      </c>
      <c r="E20" s="28">
        <v>2023</v>
      </c>
      <c r="F20" s="28">
        <v>50</v>
      </c>
      <c r="G20" s="33">
        <v>0</v>
      </c>
      <c r="H20" s="30">
        <f t="shared" si="0"/>
        <v>2023</v>
      </c>
      <c r="I20" s="31">
        <f t="shared" si="1"/>
        <v>3641.4</v>
      </c>
      <c r="J20" s="14">
        <f t="shared" si="2"/>
        <v>0</v>
      </c>
      <c r="K20" s="14">
        <f>ROUND((G20-J20),0)</f>
        <v>0</v>
      </c>
      <c r="L20" s="14">
        <f t="shared" si="4"/>
        <v>0</v>
      </c>
      <c r="M20" s="14">
        <f t="shared" si="5"/>
        <v>0</v>
      </c>
      <c r="N20" s="36"/>
    </row>
    <row r="21" spans="1:14" ht="17.25" thickBot="1" x14ac:dyDescent="0.35">
      <c r="A21" s="5"/>
      <c r="B21" s="38"/>
      <c r="C21" s="37">
        <v>0</v>
      </c>
      <c r="D21" s="28">
        <v>0</v>
      </c>
      <c r="E21" s="28">
        <v>2023</v>
      </c>
      <c r="F21" s="28">
        <v>50</v>
      </c>
      <c r="G21" s="33">
        <v>0</v>
      </c>
      <c r="H21" s="30">
        <f t="shared" si="0"/>
        <v>2023</v>
      </c>
      <c r="I21" s="31">
        <f t="shared" si="1"/>
        <v>3641.4</v>
      </c>
      <c r="J21" s="14">
        <f t="shared" si="2"/>
        <v>0</v>
      </c>
      <c r="K21" s="14">
        <f t="shared" si="3"/>
        <v>0</v>
      </c>
      <c r="L21" s="14">
        <f t="shared" si="4"/>
        <v>0</v>
      </c>
      <c r="M21" s="14">
        <f t="shared" si="5"/>
        <v>0</v>
      </c>
      <c r="N21" s="8"/>
    </row>
    <row r="22" spans="1:14" ht="17.25" thickBot="1" x14ac:dyDescent="0.35">
      <c r="A22" s="20"/>
      <c r="B22" s="39"/>
      <c r="C22" s="37">
        <v>0</v>
      </c>
      <c r="D22" s="28">
        <v>0</v>
      </c>
      <c r="E22" s="28">
        <v>2023</v>
      </c>
      <c r="F22" s="28">
        <v>50</v>
      </c>
      <c r="G22" s="33">
        <v>0</v>
      </c>
      <c r="H22" s="30">
        <f t="shared" si="0"/>
        <v>2023</v>
      </c>
      <c r="I22" s="31">
        <f t="shared" si="1"/>
        <v>3641.4</v>
      </c>
      <c r="J22" s="14">
        <f t="shared" si="2"/>
        <v>0</v>
      </c>
      <c r="K22" s="14">
        <f t="shared" si="3"/>
        <v>0</v>
      </c>
      <c r="L22" s="14">
        <f t="shared" si="4"/>
        <v>0</v>
      </c>
      <c r="M22" s="14">
        <f t="shared" si="5"/>
        <v>0</v>
      </c>
      <c r="N22" s="8"/>
    </row>
    <row r="23" spans="1:14" ht="17.25" thickBot="1" x14ac:dyDescent="0.35">
      <c r="A23" s="20"/>
      <c r="B23" s="40"/>
      <c r="C23" s="37">
        <v>0</v>
      </c>
      <c r="D23" s="28">
        <v>0</v>
      </c>
      <c r="E23" s="28">
        <v>2023</v>
      </c>
      <c r="F23" s="28">
        <v>50</v>
      </c>
      <c r="G23" s="33">
        <v>0</v>
      </c>
      <c r="H23" s="30">
        <f t="shared" si="0"/>
        <v>2023</v>
      </c>
      <c r="I23" s="31">
        <f t="shared" si="1"/>
        <v>3641.4</v>
      </c>
      <c r="J23" s="14">
        <f t="shared" si="2"/>
        <v>0</v>
      </c>
      <c r="K23" s="14">
        <f t="shared" si="3"/>
        <v>0</v>
      </c>
      <c r="L23" s="14">
        <f t="shared" si="4"/>
        <v>0</v>
      </c>
      <c r="M23" s="14">
        <f t="shared" si="5"/>
        <v>0</v>
      </c>
      <c r="N23" s="8"/>
    </row>
    <row r="24" spans="1:14" ht="17.25" thickBot="1" x14ac:dyDescent="0.35">
      <c r="A24" s="5"/>
      <c r="B24" s="40"/>
      <c r="C24" s="37">
        <v>0</v>
      </c>
      <c r="D24" s="28">
        <v>0</v>
      </c>
      <c r="E24" s="28">
        <v>2023</v>
      </c>
      <c r="F24" s="28">
        <v>50</v>
      </c>
      <c r="G24" s="33">
        <v>0</v>
      </c>
      <c r="H24" s="30">
        <f t="shared" si="0"/>
        <v>2023</v>
      </c>
      <c r="I24" s="31">
        <f t="shared" si="1"/>
        <v>3641.4</v>
      </c>
      <c r="J24" s="14">
        <f t="shared" si="2"/>
        <v>0</v>
      </c>
      <c r="K24" s="14">
        <f>ROUND((G24-J24),0)</f>
        <v>0</v>
      </c>
      <c r="L24" s="14">
        <f t="shared" si="4"/>
        <v>0</v>
      </c>
      <c r="M24" s="14">
        <f t="shared" si="5"/>
        <v>0</v>
      </c>
      <c r="N24" s="8"/>
    </row>
    <row r="25" spans="1:14" ht="17.25" thickBot="1" x14ac:dyDescent="0.35">
      <c r="A25" s="20"/>
      <c r="B25" s="40"/>
      <c r="C25" s="37">
        <v>0</v>
      </c>
      <c r="D25" s="28">
        <v>0</v>
      </c>
      <c r="E25" s="28">
        <v>2023</v>
      </c>
      <c r="F25" s="28">
        <v>50</v>
      </c>
      <c r="G25" s="33">
        <v>0</v>
      </c>
      <c r="H25" s="30">
        <f t="shared" si="0"/>
        <v>2023</v>
      </c>
      <c r="I25" s="31">
        <f t="shared" si="1"/>
        <v>3641.4</v>
      </c>
      <c r="J25" s="14">
        <f t="shared" si="2"/>
        <v>0</v>
      </c>
      <c r="K25" s="14">
        <f t="shared" si="3"/>
        <v>0</v>
      </c>
      <c r="L25" s="14">
        <f t="shared" si="4"/>
        <v>0</v>
      </c>
      <c r="M25" s="14">
        <f t="shared" si="5"/>
        <v>0</v>
      </c>
      <c r="N25" s="8"/>
    </row>
    <row r="26" spans="1:14" ht="17.25" thickBot="1" x14ac:dyDescent="0.35">
      <c r="A26" s="5"/>
      <c r="B26" s="40"/>
      <c r="C26" s="37">
        <v>0</v>
      </c>
      <c r="D26" s="28">
        <v>0</v>
      </c>
      <c r="E26" s="28">
        <v>2023</v>
      </c>
      <c r="F26" s="28">
        <v>50</v>
      </c>
      <c r="G26" s="33">
        <v>0</v>
      </c>
      <c r="H26" s="30">
        <f t="shared" si="0"/>
        <v>2023</v>
      </c>
      <c r="I26" s="31">
        <f t="shared" si="1"/>
        <v>3641.4</v>
      </c>
      <c r="J26" s="14">
        <f t="shared" si="2"/>
        <v>0</v>
      </c>
      <c r="K26" s="14">
        <f t="shared" si="3"/>
        <v>0</v>
      </c>
      <c r="L26" s="14">
        <f t="shared" si="4"/>
        <v>0</v>
      </c>
      <c r="M26" s="14">
        <f t="shared" si="5"/>
        <v>0</v>
      </c>
      <c r="N26" s="8"/>
    </row>
    <row r="27" spans="1:14" ht="16.5" x14ac:dyDescent="0.3">
      <c r="A27" s="5"/>
      <c r="B27" s="41"/>
      <c r="C27" s="42"/>
      <c r="D27" s="43"/>
      <c r="E27" s="43"/>
      <c r="F27" s="43"/>
      <c r="G27" s="44"/>
      <c r="H27" s="45"/>
      <c r="I27" s="45"/>
      <c r="J27" s="46"/>
      <c r="K27" s="46"/>
      <c r="L27" s="46">
        <f>SUM(L7:L26)</f>
        <v>1657769</v>
      </c>
      <c r="M27" s="46">
        <f>SUM(M7:M26)</f>
        <v>2021670</v>
      </c>
      <c r="N27" s="8"/>
    </row>
    <row r="28" spans="1:14" ht="16.5" x14ac:dyDescent="0.3">
      <c r="A28" s="5"/>
      <c r="B28" s="41"/>
      <c r="C28" s="42"/>
      <c r="D28" s="43"/>
      <c r="E28" s="43"/>
      <c r="F28" s="43"/>
      <c r="G28" s="44"/>
      <c r="H28" s="36"/>
      <c r="I28" s="36"/>
      <c r="J28" s="47"/>
      <c r="K28" s="47"/>
      <c r="L28" s="47"/>
      <c r="M28" s="47"/>
      <c r="N28" s="36"/>
    </row>
    <row r="29" spans="1:14" ht="16.5" x14ac:dyDescent="0.3">
      <c r="A29" s="5"/>
      <c r="B29" s="41"/>
      <c r="C29" s="42"/>
      <c r="D29" s="43"/>
      <c r="E29" s="43"/>
      <c r="F29" s="43"/>
      <c r="G29" s="44"/>
      <c r="H29" s="36"/>
      <c r="I29" s="36"/>
      <c r="J29" s="47"/>
      <c r="K29" s="47"/>
      <c r="L29" s="47"/>
      <c r="M29" s="47"/>
      <c r="N29" s="36"/>
    </row>
    <row r="30" spans="1:14" ht="16.5" x14ac:dyDescent="0.3">
      <c r="A30" s="5"/>
      <c r="B30" s="41"/>
      <c r="C30" s="42"/>
      <c r="D30" s="43"/>
      <c r="E30" s="43"/>
      <c r="F30" s="43"/>
      <c r="G30" s="44"/>
      <c r="H30" s="36"/>
      <c r="I30" s="36"/>
      <c r="J30" s="47"/>
      <c r="K30" s="47"/>
      <c r="L30" s="47"/>
      <c r="M30" s="47"/>
      <c r="N30" s="36"/>
    </row>
    <row r="31" spans="1:14" ht="16.5" x14ac:dyDescent="0.3">
      <c r="A31" s="20"/>
      <c r="B31" s="41"/>
      <c r="C31" s="42"/>
      <c r="D31" s="43"/>
      <c r="E31" s="43"/>
      <c r="F31" s="43"/>
      <c r="G31" s="44"/>
      <c r="H31" s="36"/>
      <c r="I31" s="36"/>
      <c r="J31" s="47"/>
      <c r="K31" s="47"/>
      <c r="L31" s="47"/>
      <c r="M31" s="47"/>
      <c r="N31" s="36"/>
    </row>
    <row r="32" spans="1:14" ht="16.5" x14ac:dyDescent="0.3">
      <c r="A32" s="20"/>
      <c r="B32" s="41"/>
      <c r="C32" s="42"/>
      <c r="D32" s="43"/>
      <c r="E32" s="43"/>
      <c r="F32" s="43"/>
      <c r="G32" s="44"/>
      <c r="H32" s="36"/>
      <c r="I32" s="36"/>
      <c r="J32" s="47"/>
      <c r="K32" s="47"/>
      <c r="L32" s="47"/>
      <c r="M32" s="47"/>
      <c r="N32" s="36"/>
    </row>
    <row r="33" spans="1:14" ht="16.5" x14ac:dyDescent="0.3">
      <c r="A33" s="5"/>
      <c r="B33" s="5"/>
      <c r="C33" s="48"/>
      <c r="D33" s="49"/>
      <c r="E33" s="49"/>
      <c r="F33" s="50"/>
      <c r="G33" s="8"/>
      <c r="H33" s="51"/>
      <c r="I33" s="7"/>
      <c r="J33" s="8"/>
      <c r="K33" s="52"/>
      <c r="L33" s="8"/>
      <c r="M33" s="53"/>
      <c r="N33" s="54"/>
    </row>
    <row r="34" spans="1:14" ht="16.5" x14ac:dyDescent="0.3">
      <c r="A34" s="5"/>
      <c r="B34" s="55"/>
      <c r="C34" s="49" t="s">
        <v>28</v>
      </c>
      <c r="D34" s="49"/>
      <c r="E34" s="56"/>
      <c r="F34" s="57"/>
      <c r="G34" s="8"/>
      <c r="H34" s="51"/>
      <c r="I34" s="7"/>
      <c r="J34" s="50"/>
      <c r="K34" s="8"/>
      <c r="L34" s="53"/>
      <c r="M34" s="54"/>
      <c r="N34" s="54"/>
    </row>
    <row r="35" spans="1:14" ht="33" x14ac:dyDescent="0.3">
      <c r="A35" s="5"/>
      <c r="B35" s="55" t="s">
        <v>10</v>
      </c>
      <c r="C35" s="18">
        <f>C4</f>
        <v>878400</v>
      </c>
      <c r="D35" s="58"/>
      <c r="E35" s="48"/>
      <c r="F35" s="59">
        <v>200</v>
      </c>
      <c r="G35" s="48"/>
      <c r="H35" s="52"/>
      <c r="I35" s="60"/>
      <c r="J35" s="61"/>
      <c r="K35" s="48"/>
      <c r="L35" s="62"/>
      <c r="M35" s="54"/>
      <c r="N35" s="63"/>
    </row>
    <row r="36" spans="1:14" ht="33" x14ac:dyDescent="0.3">
      <c r="A36" s="5"/>
      <c r="B36" s="55" t="s">
        <v>14</v>
      </c>
      <c r="C36" s="18">
        <f>L27</f>
        <v>1657769</v>
      </c>
      <c r="D36" s="58"/>
      <c r="E36" s="48"/>
      <c r="F36" s="59">
        <v>3930</v>
      </c>
      <c r="G36" s="48"/>
      <c r="H36" s="52"/>
      <c r="I36" s="60"/>
      <c r="J36" s="8"/>
      <c r="K36" s="52"/>
      <c r="L36" s="8"/>
      <c r="M36" s="8"/>
      <c r="N36" s="8"/>
    </row>
    <row r="37" spans="1:14" ht="33" x14ac:dyDescent="0.3">
      <c r="A37" s="5"/>
      <c r="B37" s="6" t="s">
        <v>29</v>
      </c>
      <c r="C37" s="18">
        <f>C35+C36</f>
        <v>2536169</v>
      </c>
      <c r="D37" s="64"/>
      <c r="E37" s="65"/>
      <c r="F37" s="60">
        <f>F36*F35</f>
        <v>786000</v>
      </c>
      <c r="G37" s="48">
        <f>F37+C36</f>
        <v>2443769</v>
      </c>
      <c r="H37" s="66"/>
      <c r="I37" s="7"/>
      <c r="J37" s="8"/>
      <c r="K37" s="7"/>
      <c r="L37" s="8"/>
      <c r="M37" s="8"/>
      <c r="N37" s="8"/>
    </row>
    <row r="38" spans="1:14" ht="33" x14ac:dyDescent="0.3">
      <c r="A38" s="5"/>
      <c r="B38" s="6" t="s">
        <v>30</v>
      </c>
      <c r="C38" s="18">
        <f>ROUND((C37*0.85),0)</f>
        <v>2155744</v>
      </c>
      <c r="D38" s="64"/>
      <c r="E38" s="67"/>
      <c r="F38" s="60"/>
      <c r="G38" s="8"/>
      <c r="H38" s="68"/>
      <c r="I38" s="60"/>
      <c r="J38" s="8"/>
      <c r="K38" s="7"/>
      <c r="L38" s="8"/>
      <c r="M38" s="8"/>
      <c r="N38" s="8"/>
    </row>
    <row r="39" spans="1:14" ht="16.5" x14ac:dyDescent="0.3">
      <c r="A39" s="5"/>
      <c r="B39" s="69" t="s">
        <v>31</v>
      </c>
      <c r="C39" s="18">
        <f>C37*0.8</f>
        <v>2028935.2000000002</v>
      </c>
      <c r="D39" s="64"/>
      <c r="E39" s="7"/>
      <c r="F39" s="60"/>
      <c r="G39" s="8"/>
      <c r="H39" s="66"/>
      <c r="I39" s="7"/>
      <c r="J39" s="8"/>
      <c r="K39" s="7"/>
      <c r="L39" s="8"/>
      <c r="M39" s="8"/>
      <c r="N39" s="8"/>
    </row>
    <row r="40" spans="1:14" ht="16.5" x14ac:dyDescent="0.3">
      <c r="A40" s="5"/>
      <c r="B40" s="70"/>
      <c r="C40" s="18">
        <f>ROUNDUP(C39,0)</f>
        <v>2028936</v>
      </c>
      <c r="D40" s="52"/>
      <c r="E40" s="7"/>
      <c r="F40" s="60"/>
      <c r="G40" s="8"/>
      <c r="H40" s="66"/>
      <c r="I40" s="7"/>
      <c r="J40" s="8"/>
      <c r="K40" s="7"/>
      <c r="L40" s="8"/>
      <c r="M40" s="8"/>
      <c r="N40" s="8"/>
    </row>
    <row r="41" spans="1:14" ht="16.5" x14ac:dyDescent="0.3">
      <c r="A41" s="5"/>
      <c r="B41" s="70"/>
      <c r="C41" s="18">
        <f>C40-C39</f>
        <v>0.79999999981373549</v>
      </c>
      <c r="D41" s="64"/>
      <c r="E41" s="7"/>
      <c r="F41" s="60"/>
      <c r="G41" s="8"/>
      <c r="H41" s="66"/>
      <c r="I41" s="7"/>
      <c r="J41" s="8"/>
      <c r="K41" s="7"/>
      <c r="L41" s="8"/>
      <c r="M41" s="8"/>
      <c r="N41" s="8"/>
    </row>
    <row r="42" spans="1:14" ht="33" x14ac:dyDescent="0.3">
      <c r="A42" s="5"/>
      <c r="B42" s="6" t="s">
        <v>32</v>
      </c>
      <c r="C42" s="18">
        <f>ROUND((C37*0.7),0)</f>
        <v>1775318</v>
      </c>
      <c r="D42" s="64"/>
      <c r="E42" s="7"/>
      <c r="F42" s="60"/>
      <c r="G42" s="8"/>
      <c r="H42" s="68"/>
      <c r="I42" s="7"/>
      <c r="J42" s="8"/>
      <c r="K42" s="7"/>
      <c r="L42" s="8"/>
      <c r="M42" s="8"/>
      <c r="N42" s="8"/>
    </row>
    <row r="43" spans="1:14" ht="16.5" x14ac:dyDescent="0.3">
      <c r="A43" s="5"/>
      <c r="B43" s="8" t="s">
        <v>31</v>
      </c>
      <c r="C43" s="18" t="e">
        <f>#REF!</f>
        <v>#REF!</v>
      </c>
      <c r="D43" s="64"/>
      <c r="E43" s="7"/>
      <c r="F43" s="60"/>
      <c r="G43" s="8"/>
      <c r="H43" s="68"/>
      <c r="I43" s="7"/>
      <c r="J43" s="8"/>
      <c r="K43" s="7"/>
      <c r="L43" s="8"/>
      <c r="M43" s="8"/>
      <c r="N43" s="8"/>
    </row>
    <row r="44" spans="1:14" ht="16.5" x14ac:dyDescent="0.3">
      <c r="A44" s="5"/>
      <c r="B44" s="69"/>
      <c r="C44" s="18" t="e">
        <f>ROUNDUP(C43,0)</f>
        <v>#REF!</v>
      </c>
      <c r="D44" s="64">
        <f>C46*0.85</f>
        <v>1460656.575</v>
      </c>
      <c r="E44" s="7"/>
      <c r="F44" s="8"/>
      <c r="G44" s="8"/>
      <c r="H44" s="68"/>
      <c r="I44" s="7"/>
      <c r="J44" s="8"/>
      <c r="K44" s="7"/>
      <c r="L44" s="8"/>
      <c r="M44" s="8"/>
      <c r="N44" s="8"/>
    </row>
    <row r="45" spans="1:14" ht="16.5" x14ac:dyDescent="0.3">
      <c r="A45" s="5"/>
      <c r="B45" s="69"/>
      <c r="C45" s="18" t="e">
        <f>C44-C43</f>
        <v>#REF!</v>
      </c>
      <c r="D45" s="7"/>
      <c r="E45" s="7"/>
      <c r="F45" s="8"/>
      <c r="G45" s="8"/>
      <c r="H45" s="68"/>
      <c r="I45" s="7"/>
      <c r="J45" s="8"/>
      <c r="K45" s="7"/>
      <c r="L45" s="8"/>
      <c r="M45" s="8"/>
      <c r="N45" s="8"/>
    </row>
    <row r="46" spans="1:14" ht="33" x14ac:dyDescent="0.3">
      <c r="A46" s="5"/>
      <c r="B46" s="6" t="s">
        <v>33</v>
      </c>
      <c r="C46" s="71">
        <f>M27*0.85</f>
        <v>1718419.5</v>
      </c>
      <c r="D46" s="72"/>
      <c r="E46" s="7"/>
      <c r="F46" s="8"/>
      <c r="G46" s="8"/>
      <c r="H46" s="68"/>
      <c r="I46" s="7"/>
      <c r="J46" s="72"/>
      <c r="K46" s="7"/>
      <c r="L46" s="8"/>
      <c r="M46" s="73"/>
      <c r="N46" s="8"/>
    </row>
    <row r="47" spans="1:14" ht="16.5" x14ac:dyDescent="0.3">
      <c r="A47" s="5"/>
      <c r="B47" s="55" t="s">
        <v>34</v>
      </c>
      <c r="C47" s="72">
        <f>C37*0.025/12</f>
        <v>5283.6854166666672</v>
      </c>
      <c r="D47" s="7"/>
      <c r="E47" s="7"/>
      <c r="F47" s="8"/>
      <c r="G47" s="8"/>
      <c r="H47" s="8"/>
      <c r="I47" s="7"/>
      <c r="J47" s="8"/>
      <c r="K47" s="7"/>
      <c r="L47" s="8"/>
      <c r="M47" s="73"/>
      <c r="N47" s="8"/>
    </row>
    <row r="48" spans="1:14" ht="16.5" x14ac:dyDescent="0.3">
      <c r="A48" s="5"/>
      <c r="B48" s="55"/>
      <c r="C48" s="7"/>
      <c r="D48" s="7"/>
      <c r="E48" s="7"/>
      <c r="F48" s="8"/>
      <c r="G48" s="8"/>
      <c r="H48" s="74"/>
      <c r="I48" s="7"/>
      <c r="J48" s="8"/>
      <c r="K48" s="7"/>
      <c r="L48" s="8"/>
      <c r="M48" s="73"/>
      <c r="N48" s="8"/>
    </row>
    <row r="49" spans="1:14" ht="16.5" x14ac:dyDescent="0.3">
      <c r="A49" s="5"/>
      <c r="B49" s="55"/>
      <c r="C49" s="7"/>
      <c r="D49" s="7"/>
      <c r="E49" s="7"/>
      <c r="F49" s="8"/>
      <c r="G49" s="8"/>
      <c r="H49" s="8"/>
      <c r="I49" s="7"/>
      <c r="J49" s="8"/>
      <c r="K49" s="75"/>
      <c r="L49" s="8"/>
      <c r="M49" s="73"/>
      <c r="N49" s="8"/>
    </row>
    <row r="50" spans="1:14" ht="16.5" x14ac:dyDescent="0.3">
      <c r="A50" s="5"/>
      <c r="B50" s="55"/>
      <c r="C50" s="7"/>
      <c r="D50" s="7"/>
      <c r="E50" s="72"/>
      <c r="F50" s="8"/>
      <c r="G50" s="8"/>
      <c r="H50" s="8"/>
      <c r="I50" s="7"/>
      <c r="J50" s="8"/>
      <c r="K50" s="75"/>
      <c r="L50" s="8"/>
      <c r="M50" s="73"/>
      <c r="N50" s="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2023-11-17T07:56:58Z</dcterms:modified>
</cp:coreProperties>
</file>