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Kashyap Pran Gambhir – Sonale, Bhiwandi\"/>
    </mc:Choice>
  </mc:AlternateContent>
  <xr:revisionPtr revIDLastSave="0" documentId="13_ncr:1_{92CE077D-6896-4B84-8EC5-32230D15EDF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s on Date" sheetId="9" r:id="rId1"/>
    <sheet name="After Approval" sheetId="2" r:id="rId2"/>
    <sheet name="IGR" sheetId="4" r:id="rId3"/>
    <sheet name="Previous Valuation Report" sheetId="3" r:id="rId4"/>
    <sheet name="Sheet3" sheetId="5" r:id="rId5"/>
    <sheet name="Sheet4" sheetId="7" r:id="rId6"/>
    <sheet name="Sheet5" sheetId="8" r:id="rId7"/>
  </sheets>
  <calcPr calcId="191029"/>
</workbook>
</file>

<file path=xl/calcChain.xml><?xml version="1.0" encoding="utf-8"?>
<calcChain xmlns="http://schemas.openxmlformats.org/spreadsheetml/2006/main">
  <c r="M13" i="9" l="1"/>
  <c r="N13" i="9"/>
  <c r="O13" i="9"/>
  <c r="T16" i="9"/>
  <c r="U16" i="9"/>
  <c r="S16" i="9"/>
  <c r="P9" i="9"/>
  <c r="M28" i="9"/>
  <c r="I10" i="9"/>
  <c r="J10" i="9"/>
  <c r="K10" i="9" s="1"/>
  <c r="L10" i="9" s="1"/>
  <c r="N10" i="9" s="1"/>
  <c r="O10" i="9"/>
  <c r="I11" i="9"/>
  <c r="J11" i="9"/>
  <c r="K11" i="9" s="1"/>
  <c r="L11" i="9" s="1"/>
  <c r="N11" i="9" s="1"/>
  <c r="M11" i="9" s="1"/>
  <c r="O11" i="9"/>
  <c r="K9" i="9"/>
  <c r="H10" i="9"/>
  <c r="H11" i="9"/>
  <c r="C11" i="9"/>
  <c r="C10" i="9"/>
  <c r="K108" i="9"/>
  <c r="K105" i="9"/>
  <c r="I102" i="9"/>
  <c r="J83" i="9"/>
  <c r="L71" i="9"/>
  <c r="L67" i="9"/>
  <c r="L66" i="9"/>
  <c r="L65" i="9"/>
  <c r="L61" i="9"/>
  <c r="L60" i="9"/>
  <c r="L59" i="9"/>
  <c r="L58" i="9"/>
  <c r="L62" i="9" s="1"/>
  <c r="L57" i="9"/>
  <c r="L52" i="9"/>
  <c r="L51" i="9"/>
  <c r="S48" i="9"/>
  <c r="K47" i="9"/>
  <c r="L34" i="9"/>
  <c r="L33" i="9"/>
  <c r="L32" i="9"/>
  <c r="L35" i="9" s="1"/>
  <c r="L29" i="9"/>
  <c r="L28" i="9"/>
  <c r="P27" i="9"/>
  <c r="L27" i="9"/>
  <c r="L30" i="9" s="1"/>
  <c r="L24" i="9"/>
  <c r="L23" i="9"/>
  <c r="L25" i="9" s="1"/>
  <c r="G22" i="9"/>
  <c r="C21" i="9"/>
  <c r="C23" i="9" s="1"/>
  <c r="C29" i="9" s="1"/>
  <c r="K20" i="9"/>
  <c r="J20" i="9"/>
  <c r="L20" i="9" s="1"/>
  <c r="G19" i="9"/>
  <c r="L18" i="9"/>
  <c r="G18" i="9"/>
  <c r="C18" i="9"/>
  <c r="C28" i="9" s="1"/>
  <c r="O12" i="9"/>
  <c r="H12" i="9"/>
  <c r="I12" i="9" s="1"/>
  <c r="O9" i="9"/>
  <c r="H9" i="9"/>
  <c r="I9" i="9" s="1"/>
  <c r="O8" i="9"/>
  <c r="H8" i="9"/>
  <c r="I8" i="9" s="1"/>
  <c r="C4" i="9"/>
  <c r="C26" i="9" s="1"/>
  <c r="I3" i="9"/>
  <c r="K2" i="9" s="1"/>
  <c r="J2" i="9"/>
  <c r="C7" i="4"/>
  <c r="D7" i="4"/>
  <c r="E7" i="4"/>
  <c r="C6" i="4"/>
  <c r="D6" i="4"/>
  <c r="E6" i="4"/>
  <c r="C5" i="4"/>
  <c r="D5" i="4"/>
  <c r="E5" i="4"/>
  <c r="C4" i="4"/>
  <c r="C3" i="4"/>
  <c r="C2" i="4"/>
  <c r="D3" i="4"/>
  <c r="E3" i="4" s="1"/>
  <c r="D2" i="4"/>
  <c r="E2" i="4" s="1"/>
  <c r="D4" i="4"/>
  <c r="E4" i="4" s="1"/>
  <c r="G20" i="2"/>
  <c r="G17" i="2"/>
  <c r="G16" i="2"/>
  <c r="C11" i="2"/>
  <c r="C19" i="2"/>
  <c r="L18" i="2"/>
  <c r="J18" i="2"/>
  <c r="K18" i="2"/>
  <c r="L32" i="2"/>
  <c r="L31" i="2"/>
  <c r="L27" i="2"/>
  <c r="L22" i="2"/>
  <c r="P25" i="2"/>
  <c r="L25" i="2"/>
  <c r="L30" i="2"/>
  <c r="L26" i="2"/>
  <c r="L21" i="2"/>
  <c r="L16" i="2"/>
  <c r="K106" i="2"/>
  <c r="K103" i="2"/>
  <c r="I100" i="2"/>
  <c r="J81" i="2"/>
  <c r="M10" i="9" l="1"/>
  <c r="C13" i="9"/>
  <c r="L2" i="9"/>
  <c r="J8" i="9"/>
  <c r="K8" i="9" s="1"/>
  <c r="L8" i="9" s="1"/>
  <c r="N8" i="9" s="1"/>
  <c r="M8" i="9" s="1"/>
  <c r="J12" i="9"/>
  <c r="K12" i="9" s="1"/>
  <c r="L12" i="9" s="1"/>
  <c r="N12" i="9" s="1"/>
  <c r="L53" i="9"/>
  <c r="L63" i="9" s="1"/>
  <c r="L68" i="9"/>
  <c r="L69" i="9" s="1"/>
  <c r="J9" i="9"/>
  <c r="L9" i="9" s="1"/>
  <c r="N9" i="9" s="1"/>
  <c r="M9" i="9"/>
  <c r="L33" i="2"/>
  <c r="L28" i="2"/>
  <c r="L23" i="2"/>
  <c r="C27" i="9" l="1"/>
  <c r="L3" i="9"/>
  <c r="L4" i="9" s="1"/>
  <c r="M12" i="9"/>
  <c r="C33" i="9"/>
  <c r="C34" i="9" s="1"/>
  <c r="C30" i="9"/>
  <c r="D30" i="9" s="1"/>
  <c r="S27" i="5"/>
  <c r="F24" i="5"/>
  <c r="Q23" i="5"/>
  <c r="O23" i="5"/>
  <c r="N23" i="5"/>
  <c r="O22" i="5"/>
  <c r="Q22" i="5" s="1"/>
  <c r="N22" i="5"/>
  <c r="X18" i="5"/>
  <c r="Y18" i="5" s="1"/>
  <c r="I18" i="5" s="1"/>
  <c r="W18" i="5"/>
  <c r="O18" i="5"/>
  <c r="P18" i="5" s="1"/>
  <c r="Q18" i="5" s="1"/>
  <c r="R18" i="5" s="1"/>
  <c r="N18" i="5"/>
  <c r="K18" i="5"/>
  <c r="J18" i="5"/>
  <c r="H18" i="5"/>
  <c r="G18" i="5"/>
  <c r="F18" i="5"/>
  <c r="E18" i="5"/>
  <c r="B18" i="5"/>
  <c r="X17" i="5"/>
  <c r="W17" i="5"/>
  <c r="O17" i="5"/>
  <c r="P17" i="5" s="1"/>
  <c r="Q17" i="5" s="1"/>
  <c r="R17" i="5" s="1"/>
  <c r="N17" i="5"/>
  <c r="K17" i="5"/>
  <c r="J17" i="5"/>
  <c r="H17" i="5"/>
  <c r="G17" i="5"/>
  <c r="F17" i="5"/>
  <c r="E17" i="5"/>
  <c r="B17" i="5"/>
  <c r="X16" i="5"/>
  <c r="W16" i="5"/>
  <c r="O16" i="5"/>
  <c r="P16" i="5" s="1"/>
  <c r="Q16" i="5" s="1"/>
  <c r="R16" i="5" s="1"/>
  <c r="N16" i="5"/>
  <c r="K16" i="5"/>
  <c r="J16" i="5"/>
  <c r="H16" i="5"/>
  <c r="G16" i="5"/>
  <c r="F16" i="5"/>
  <c r="E16" i="5"/>
  <c r="B16" i="5"/>
  <c r="X15" i="5"/>
  <c r="W15" i="5"/>
  <c r="O15" i="5"/>
  <c r="P15" i="5" s="1"/>
  <c r="Q15" i="5" s="1"/>
  <c r="R15" i="5" s="1"/>
  <c r="N15" i="5"/>
  <c r="K15" i="5"/>
  <c r="J15" i="5"/>
  <c r="H15" i="5"/>
  <c r="G15" i="5"/>
  <c r="F15" i="5"/>
  <c r="E15" i="5"/>
  <c r="B15" i="5"/>
  <c r="X14" i="5"/>
  <c r="W14" i="5"/>
  <c r="O14" i="5"/>
  <c r="P14" i="5" s="1"/>
  <c r="Q14" i="5" s="1"/>
  <c r="R14" i="5" s="1"/>
  <c r="N14" i="5"/>
  <c r="K14" i="5"/>
  <c r="J14" i="5"/>
  <c r="H14" i="5"/>
  <c r="G14" i="5"/>
  <c r="F14" i="5"/>
  <c r="E14" i="5"/>
  <c r="B14" i="5"/>
  <c r="X13" i="5"/>
  <c r="W13" i="5"/>
  <c r="O13" i="5"/>
  <c r="P13" i="5" s="1"/>
  <c r="Q13" i="5" s="1"/>
  <c r="R13" i="5" s="1"/>
  <c r="N13" i="5"/>
  <c r="K13" i="5"/>
  <c r="J13" i="5"/>
  <c r="H13" i="5"/>
  <c r="G13" i="5"/>
  <c r="F13" i="5"/>
  <c r="E13" i="5"/>
  <c r="B13" i="5"/>
  <c r="X12" i="5"/>
  <c r="W12" i="5"/>
  <c r="O12" i="5"/>
  <c r="P12" i="5" s="1"/>
  <c r="Q12" i="5" s="1"/>
  <c r="R12" i="5" s="1"/>
  <c r="N12" i="5"/>
  <c r="K12" i="5"/>
  <c r="J12" i="5"/>
  <c r="H12" i="5"/>
  <c r="G12" i="5"/>
  <c r="F12" i="5"/>
  <c r="E12" i="5"/>
  <c r="B12" i="5"/>
  <c r="X11" i="5"/>
  <c r="W11" i="5"/>
  <c r="O11" i="5"/>
  <c r="P11" i="5" s="1"/>
  <c r="Q11" i="5" s="1"/>
  <c r="R11" i="5" s="1"/>
  <c r="N11" i="5"/>
  <c r="K11" i="5"/>
  <c r="J11" i="5"/>
  <c r="H11" i="5"/>
  <c r="G11" i="5"/>
  <c r="F11" i="5"/>
  <c r="E11" i="5"/>
  <c r="B11" i="5"/>
  <c r="X10" i="5"/>
  <c r="W10" i="5"/>
  <c r="O10" i="5"/>
  <c r="P10" i="5" s="1"/>
  <c r="Q10" i="5" s="1"/>
  <c r="R10" i="5" s="1"/>
  <c r="N10" i="5"/>
  <c r="K10" i="5"/>
  <c r="J10" i="5"/>
  <c r="H10" i="5"/>
  <c r="G10" i="5"/>
  <c r="F10" i="5"/>
  <c r="E10" i="5"/>
  <c r="B10" i="5"/>
  <c r="X9" i="5"/>
  <c r="W9" i="5"/>
  <c r="O9" i="5"/>
  <c r="P9" i="5" s="1"/>
  <c r="Q9" i="5" s="1"/>
  <c r="R9" i="5" s="1"/>
  <c r="N9" i="5"/>
  <c r="K9" i="5"/>
  <c r="J9" i="5"/>
  <c r="H9" i="5"/>
  <c r="G9" i="5"/>
  <c r="F9" i="5"/>
  <c r="E9" i="5"/>
  <c r="B9" i="5"/>
  <c r="X8" i="5"/>
  <c r="W8" i="5"/>
  <c r="O8" i="5"/>
  <c r="P8" i="5" s="1"/>
  <c r="Q8" i="5" s="1"/>
  <c r="R8" i="5" s="1"/>
  <c r="N8" i="5"/>
  <c r="K8" i="5"/>
  <c r="J8" i="5"/>
  <c r="H8" i="5"/>
  <c r="G8" i="5"/>
  <c r="F8" i="5"/>
  <c r="E8" i="5"/>
  <c r="B8" i="5"/>
  <c r="X7" i="5"/>
  <c r="W7" i="5"/>
  <c r="O7" i="5"/>
  <c r="P7" i="5" s="1"/>
  <c r="Q7" i="5" s="1"/>
  <c r="R7" i="5" s="1"/>
  <c r="N7" i="5"/>
  <c r="K7" i="5"/>
  <c r="J7" i="5"/>
  <c r="H7" i="5"/>
  <c r="G7" i="5"/>
  <c r="F7" i="5"/>
  <c r="E7" i="5"/>
  <c r="B7" i="5"/>
  <c r="X6" i="5"/>
  <c r="W6" i="5"/>
  <c r="O6" i="5"/>
  <c r="P6" i="5" s="1"/>
  <c r="Q6" i="5" s="1"/>
  <c r="R6" i="5" s="1"/>
  <c r="N6" i="5"/>
  <c r="K6" i="5"/>
  <c r="J6" i="5"/>
  <c r="H6" i="5"/>
  <c r="G6" i="5"/>
  <c r="F6" i="5"/>
  <c r="E6" i="5"/>
  <c r="B6" i="5"/>
  <c r="X5" i="5"/>
  <c r="W5" i="5"/>
  <c r="O5" i="5"/>
  <c r="P5" i="5" s="1"/>
  <c r="Q5" i="5" s="1"/>
  <c r="R5" i="5" s="1"/>
  <c r="N5" i="5"/>
  <c r="K5" i="5"/>
  <c r="J5" i="5"/>
  <c r="H5" i="5"/>
  <c r="G5" i="5"/>
  <c r="F5" i="5"/>
  <c r="E5" i="5"/>
  <c r="B5" i="5"/>
  <c r="X4" i="5"/>
  <c r="W4" i="5"/>
  <c r="O4" i="5"/>
  <c r="P4" i="5" s="1"/>
  <c r="Q4" i="5" s="1"/>
  <c r="R4" i="5" s="1"/>
  <c r="N4" i="5"/>
  <c r="K4" i="5"/>
  <c r="J4" i="5"/>
  <c r="H4" i="5"/>
  <c r="G4" i="5"/>
  <c r="F4" i="5"/>
  <c r="E4" i="5"/>
  <c r="B4" i="5"/>
  <c r="X3" i="5"/>
  <c r="H3" i="5" s="1"/>
  <c r="W3" i="5"/>
  <c r="P3" i="5"/>
  <c r="Q3" i="5" s="1"/>
  <c r="R3" i="5" s="1"/>
  <c r="N3" i="5"/>
  <c r="K3" i="5"/>
  <c r="J3" i="5"/>
  <c r="G3" i="5"/>
  <c r="F3" i="5"/>
  <c r="E3" i="5"/>
  <c r="B3" i="5"/>
  <c r="X2" i="5"/>
  <c r="H2" i="5" s="1"/>
  <c r="W2" i="5"/>
  <c r="P2" i="5"/>
  <c r="Q2" i="5" s="1"/>
  <c r="R2" i="5" s="1"/>
  <c r="N2" i="5"/>
  <c r="K2" i="5"/>
  <c r="J2" i="5"/>
  <c r="G2" i="5"/>
  <c r="F2" i="5"/>
  <c r="E2" i="5"/>
  <c r="B2" i="5"/>
  <c r="K1" i="5"/>
  <c r="J1" i="5"/>
  <c r="I1" i="5"/>
  <c r="H1" i="5"/>
  <c r="G1" i="5"/>
  <c r="F1" i="5"/>
  <c r="E1" i="5"/>
  <c r="P2" i="9" l="1"/>
  <c r="R2" i="9" s="1"/>
  <c r="P4" i="9"/>
  <c r="R4" i="9" s="1"/>
  <c r="C31" i="9"/>
  <c r="C32" i="9"/>
  <c r="P3" i="9"/>
  <c r="R3" i="9" s="1"/>
  <c r="Y8" i="5"/>
  <c r="I8" i="5" s="1"/>
  <c r="T8" i="5"/>
  <c r="C8" i="5" s="1"/>
  <c r="D8" i="5" s="1"/>
  <c r="A8" i="5"/>
  <c r="Y12" i="5"/>
  <c r="I12" i="5" s="1"/>
  <c r="T12" i="5"/>
  <c r="C12" i="5" s="1"/>
  <c r="D12" i="5" s="1"/>
  <c r="A12" i="5"/>
  <c r="Y16" i="5"/>
  <c r="I16" i="5" s="1"/>
  <c r="T16" i="5"/>
  <c r="C16" i="5" s="1"/>
  <c r="D16" i="5" s="1"/>
  <c r="A16" i="5"/>
  <c r="Y3" i="5"/>
  <c r="I3" i="5" s="1"/>
  <c r="T3" i="5"/>
  <c r="C3" i="5" s="1"/>
  <c r="D3" i="5" s="1"/>
  <c r="A3" i="5"/>
  <c r="Y11" i="5"/>
  <c r="I11" i="5" s="1"/>
  <c r="T11" i="5"/>
  <c r="C11" i="5" s="1"/>
  <c r="D11" i="5" s="1"/>
  <c r="A11" i="5"/>
  <c r="Y2" i="5"/>
  <c r="I2" i="5" s="1"/>
  <c r="T2" i="5"/>
  <c r="C2" i="5" s="1"/>
  <c r="D2" i="5" s="1"/>
  <c r="A2" i="5"/>
  <c r="Y6" i="5"/>
  <c r="I6" i="5" s="1"/>
  <c r="T6" i="5"/>
  <c r="C6" i="5" s="1"/>
  <c r="D6" i="5" s="1"/>
  <c r="A6" i="5"/>
  <c r="Y10" i="5"/>
  <c r="I10" i="5" s="1"/>
  <c r="T10" i="5"/>
  <c r="C10" i="5" s="1"/>
  <c r="D10" i="5" s="1"/>
  <c r="A10" i="5"/>
  <c r="Y14" i="5"/>
  <c r="I14" i="5" s="1"/>
  <c r="T14" i="5"/>
  <c r="C14" i="5" s="1"/>
  <c r="D14" i="5" s="1"/>
  <c r="A14" i="5"/>
  <c r="T18" i="5"/>
  <c r="C18" i="5" s="1"/>
  <c r="D18" i="5" s="1"/>
  <c r="A18" i="5"/>
  <c r="Y4" i="5"/>
  <c r="I4" i="5" s="1"/>
  <c r="T4" i="5"/>
  <c r="C4" i="5" s="1"/>
  <c r="D4" i="5" s="1"/>
  <c r="A4" i="5"/>
  <c r="Y7" i="5"/>
  <c r="I7" i="5" s="1"/>
  <c r="T7" i="5"/>
  <c r="C7" i="5" s="1"/>
  <c r="D7" i="5" s="1"/>
  <c r="A7" i="5"/>
  <c r="Y15" i="5"/>
  <c r="I15" i="5" s="1"/>
  <c r="T15" i="5"/>
  <c r="C15" i="5" s="1"/>
  <c r="D15" i="5" s="1"/>
  <c r="A15" i="5"/>
  <c r="Y5" i="5"/>
  <c r="I5" i="5" s="1"/>
  <c r="T5" i="5"/>
  <c r="C5" i="5" s="1"/>
  <c r="D5" i="5" s="1"/>
  <c r="A5" i="5"/>
  <c r="Y9" i="5"/>
  <c r="I9" i="5" s="1"/>
  <c r="T9" i="5"/>
  <c r="C9" i="5" s="1"/>
  <c r="D9" i="5" s="1"/>
  <c r="A9" i="5"/>
  <c r="Y13" i="5"/>
  <c r="I13" i="5" s="1"/>
  <c r="T13" i="5"/>
  <c r="C13" i="5" s="1"/>
  <c r="D13" i="5" s="1"/>
  <c r="A13" i="5"/>
  <c r="Y17" i="5"/>
  <c r="I17" i="5" s="1"/>
  <c r="T17" i="5"/>
  <c r="C17" i="5" s="1"/>
  <c r="D17" i="5" s="1"/>
  <c r="A17" i="5"/>
  <c r="L69" i="2" l="1"/>
  <c r="C30" i="3" l="1"/>
  <c r="O16" i="3"/>
  <c r="L65" i="2"/>
  <c r="L64" i="2"/>
  <c r="L63" i="2"/>
  <c r="L59" i="2"/>
  <c r="L58" i="2"/>
  <c r="L57" i="2"/>
  <c r="L56" i="2"/>
  <c r="L55" i="2"/>
  <c r="L50" i="2"/>
  <c r="L49" i="2"/>
  <c r="L51" i="2" s="1"/>
  <c r="S46" i="2"/>
  <c r="K45" i="2"/>
  <c r="L60" i="2" l="1"/>
  <c r="L61" i="2" s="1"/>
  <c r="L66" i="2"/>
  <c r="L67" i="2"/>
  <c r="L28" i="3" l="1"/>
  <c r="C26" i="3"/>
  <c r="C32" i="3" s="1"/>
  <c r="C21" i="3"/>
  <c r="C31" i="3" s="1"/>
  <c r="O15" i="3"/>
  <c r="J15" i="3"/>
  <c r="K15" i="3" s="1"/>
  <c r="L15" i="3" s="1"/>
  <c r="N15" i="3" s="1"/>
  <c r="I15" i="3"/>
  <c r="H15" i="3"/>
  <c r="O14" i="3"/>
  <c r="J14" i="3"/>
  <c r="K14" i="3" s="1"/>
  <c r="L14" i="3" s="1"/>
  <c r="N14" i="3" s="1"/>
  <c r="I14" i="3"/>
  <c r="H14" i="3"/>
  <c r="O13" i="3"/>
  <c r="J13" i="3"/>
  <c r="K13" i="3" s="1"/>
  <c r="L13" i="3" s="1"/>
  <c r="N13" i="3" s="1"/>
  <c r="I13" i="3"/>
  <c r="H13" i="3"/>
  <c r="O12" i="3"/>
  <c r="J12" i="3"/>
  <c r="K12" i="3" s="1"/>
  <c r="L12" i="3" s="1"/>
  <c r="N12" i="3" s="1"/>
  <c r="I12" i="3"/>
  <c r="H12" i="3"/>
  <c r="O11" i="3"/>
  <c r="J11" i="3"/>
  <c r="K11" i="3" s="1"/>
  <c r="L11" i="3" s="1"/>
  <c r="N11" i="3" s="1"/>
  <c r="I11" i="3"/>
  <c r="H11" i="3"/>
  <c r="O10" i="3"/>
  <c r="H10" i="3"/>
  <c r="J10" i="3" s="1"/>
  <c r="K10" i="3" s="1"/>
  <c r="L10" i="3" s="1"/>
  <c r="N10" i="3" s="1"/>
  <c r="O9" i="3"/>
  <c r="H9" i="3"/>
  <c r="J9" i="3" s="1"/>
  <c r="K9" i="3" s="1"/>
  <c r="L9" i="3" s="1"/>
  <c r="N9" i="3" s="1"/>
  <c r="O8" i="3"/>
  <c r="H8" i="3"/>
  <c r="J8" i="3" s="1"/>
  <c r="K8" i="3" s="1"/>
  <c r="L8" i="3" s="1"/>
  <c r="N8" i="3" s="1"/>
  <c r="C4" i="3"/>
  <c r="C29" i="3" s="1"/>
  <c r="I3" i="3"/>
  <c r="K2" i="3" s="1"/>
  <c r="J2" i="3"/>
  <c r="I3" i="2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L2" i="3" l="1"/>
  <c r="I8" i="3"/>
  <c r="I10" i="3"/>
  <c r="C36" i="3"/>
  <c r="C37" i="3" s="1"/>
  <c r="I9" i="3"/>
  <c r="N16" i="3"/>
  <c r="L3" i="3" s="1"/>
  <c r="L4" i="3" s="1"/>
  <c r="M10" i="3"/>
  <c r="M8" i="3"/>
  <c r="M9" i="3"/>
  <c r="M11" i="3"/>
  <c r="M12" i="3"/>
  <c r="M13" i="3"/>
  <c r="M14" i="3"/>
  <c r="M15" i="3"/>
  <c r="I9" i="2"/>
  <c r="M8" i="2"/>
  <c r="I10" i="2"/>
  <c r="I8" i="2"/>
  <c r="M9" i="2"/>
  <c r="M10" i="2"/>
  <c r="C33" i="3" l="1"/>
  <c r="C35" i="3" s="1"/>
  <c r="M16" i="3"/>
  <c r="C21" i="2"/>
  <c r="C27" i="2" s="1"/>
  <c r="C16" i="2"/>
  <c r="C26" i="2" s="1"/>
  <c r="C4" i="2"/>
  <c r="C24" i="2" s="1"/>
  <c r="J2" i="2"/>
  <c r="L2" i="2" s="1"/>
  <c r="P2" i="3" l="1"/>
  <c r="R2" i="3" s="1"/>
  <c r="P3" i="3"/>
  <c r="R3" i="3" s="1"/>
  <c r="P4" i="3"/>
  <c r="R4" i="3" s="1"/>
  <c r="C34" i="3"/>
  <c r="O11" i="2"/>
  <c r="N11" i="2" l="1"/>
  <c r="C25" i="2" s="1"/>
  <c r="M11" i="2"/>
  <c r="C28" i="2" l="1"/>
  <c r="C31" i="2"/>
  <c r="C32" i="2" s="1"/>
  <c r="L3" i="2"/>
  <c r="L4" i="2" s="1"/>
  <c r="P3" i="2"/>
  <c r="P2" i="2" l="1"/>
  <c r="R2" i="2" s="1"/>
  <c r="D28" i="2"/>
  <c r="P4" i="2"/>
  <c r="R4" i="2" s="1"/>
  <c r="C30" i="2"/>
  <c r="C29" i="2"/>
  <c r="R3" i="2"/>
</calcChain>
</file>

<file path=xl/sharedStrings.xml><?xml version="1.0" encoding="utf-8"?>
<sst xmlns="http://schemas.openxmlformats.org/spreadsheetml/2006/main" count="312" uniqueCount="107">
  <si>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</si>
  <si>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</si>
  <si>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</si>
  <si>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</si>
  <si>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</si>
  <si>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</si>
  <si>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</si>
  <si>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</si>
  <si>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</si>
  <si>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</si>
  <si>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</si>
  <si>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</si>
  <si>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</si>
  <si>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</si>
  <si>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</si>
  <si>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</si>
  <si>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</si>
  <si>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</si>
  <si>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</si>
  <si>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</si>
  <si>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</si>
  <si>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</si>
  <si>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</si>
  <si>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</si>
  <si>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</si>
  <si>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</si>
  <si>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</si>
  <si>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</si>
  <si>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</si>
  <si>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</si>
  <si>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</si>
  <si>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</si>
  <si>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</si>
  <si>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</si>
  <si>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</si>
  <si>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</si>
  <si>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</si>
  <si>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</si>
  <si>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</si>
  <si>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</si>
  <si>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</si>
  <si>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</si>
  <si>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</si>
  <si>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</si>
  <si>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</si>
  <si>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Sq.Ft.</t>
  </si>
  <si>
    <t>Ground Floor</t>
  </si>
  <si>
    <t>First Floor</t>
  </si>
  <si>
    <t>Second Floor</t>
  </si>
  <si>
    <t>As per previous report - Sunil Deshpande - 2016</t>
  </si>
  <si>
    <t xml:space="preserve">ground </t>
  </si>
  <si>
    <t>Measured area</t>
  </si>
  <si>
    <t>mezzanine</t>
  </si>
  <si>
    <t>main factory - ground floor</t>
  </si>
  <si>
    <t>first</t>
  </si>
  <si>
    <t>TOTAL</t>
  </si>
  <si>
    <t xml:space="preserve">as per measurement </t>
  </si>
  <si>
    <t>second</t>
  </si>
  <si>
    <t>ground</t>
  </si>
  <si>
    <t>staircase</t>
  </si>
  <si>
    <t>height 11.18 ft</t>
  </si>
  <si>
    <t>WC</t>
  </si>
  <si>
    <t>pantry</t>
  </si>
  <si>
    <t xml:space="preserve">first </t>
  </si>
  <si>
    <t>balcony</t>
  </si>
  <si>
    <t>Ground + First</t>
  </si>
  <si>
    <t>Terrace</t>
  </si>
  <si>
    <t>terrace</t>
  </si>
  <si>
    <t>bal</t>
  </si>
  <si>
    <t>open space</t>
  </si>
  <si>
    <t>Land area in Sq. M.</t>
  </si>
  <si>
    <t>Rate on Sq. M.</t>
  </si>
  <si>
    <t>Rate on Sq. Ft.</t>
  </si>
  <si>
    <t>Land in Hector</t>
  </si>
  <si>
    <t>Land in Acre</t>
  </si>
  <si>
    <t>Land in Guntha</t>
  </si>
  <si>
    <t>Land in Sq. Yard</t>
  </si>
  <si>
    <t>Land in Sq. Ft.</t>
  </si>
  <si>
    <t>Land in Sq. M.</t>
  </si>
  <si>
    <t>Construction Area</t>
  </si>
  <si>
    <t>Cost of Construction</t>
  </si>
  <si>
    <t>Construction value</t>
  </si>
  <si>
    <t>Land Value (Including Land development)</t>
  </si>
  <si>
    <t>Land Rate (Including Development) per Sq. M.</t>
  </si>
  <si>
    <t>Location</t>
  </si>
  <si>
    <t>Distance</t>
  </si>
  <si>
    <t>As per Development Agreement</t>
  </si>
  <si>
    <t>Mezzanine Floor</t>
  </si>
  <si>
    <t>Open Area</t>
  </si>
  <si>
    <t xml:space="preserve">Open Area </t>
  </si>
  <si>
    <t xml:space="preserve">Ground Floor </t>
  </si>
  <si>
    <t>Sq. M.</t>
  </si>
  <si>
    <t>As per 7/12. Extract</t>
  </si>
  <si>
    <t>As per Plan  - T Building</t>
  </si>
  <si>
    <t>As per Architect Certificate</t>
  </si>
  <si>
    <t>Carpet Area</t>
  </si>
  <si>
    <t>Balcony area</t>
  </si>
  <si>
    <t>Stair Case Area</t>
  </si>
  <si>
    <t>Total</t>
  </si>
  <si>
    <t xml:space="preserve">External Wall </t>
  </si>
  <si>
    <t xml:space="preserve">Total </t>
  </si>
  <si>
    <t>Replacement Cost</t>
  </si>
  <si>
    <t>As per Site measurement</t>
  </si>
  <si>
    <t>Area</t>
  </si>
  <si>
    <t>Rate per sq. m.</t>
  </si>
  <si>
    <t>Rate per Sq. ft.</t>
  </si>
  <si>
    <t>Covered 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</si>
</sst>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8" fillId="0" borderId="0" xfId="0" applyFont="1"/>
    <xf numFmtId="0" fontId="17" fillId="0" borderId="0" xfId="0" applyFont="1"/>
    <xf numFmtId="0" fontId="17" fillId="2" borderId="0" xfId="0" applyFont="1" applyFill="1"/>
    <xf numFmtId="0" fontId="0" fillId="2" borderId="0" xfId="0" applyFill="1"/>
    <xf numFmtId="3" fontId="16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3" fontId="16" fillId="0" borderId="0" xfId="0" applyNumberFormat="1" applyFont="1"/>
    <xf numFmtId="3" fontId="0" fillId="0" borderId="0" xfId="0" applyNumberFormat="1"/>
    <xf numFmtId="4" fontId="9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center" vertical="top"/>
    </xf>
    <xf numFmtId="0" fontId="19" fillId="0" borderId="0" xfId="0" applyFont="1"/>
    <xf numFmtId="4" fontId="19" fillId="0" borderId="0" xfId="0" applyNumberFormat="1" applyFont="1"/>
    <xf numFmtId="2" fontId="9" fillId="0" borderId="0" xfId="0" applyNumberFormat="1" applyFont="1"/>
    <xf numFmtId="0" fontId="9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4" fontId="9" fillId="0" borderId="6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vertical="center"/>
    </xf>
    <xf numFmtId="0" fontId="22" fillId="0" borderId="0" xfId="0" applyFont="1"/>
    <xf numFmtId="0" fontId="1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/>
    </xf>
    <xf numFmtId="2" fontId="19" fillId="0" borderId="0" xfId="0" applyNumberFormat="1" applyFont="1"/>
    <xf numFmtId="3" fontId="19" fillId="0" borderId="0" xfId="0" applyNumberFormat="1" applyFont="1"/>
    <xf numFmtId="4" fontId="1" fillId="0" borderId="7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top"/>
    </xf>
    <xf numFmtId="43" fontId="8" fillId="0" borderId="0" xfId="1" applyFont="1"/>
    <xf numFmtId="43" fontId="22" fillId="0" borderId="0" xfId="1" applyFont="1"/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164" fontId="1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0</xdr:colOff>
      <xdr:row>35</xdr:row>
      <xdr:rowOff>187934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A1ED0-93F8-FED2-8661-048EC090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0" cy="6855434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142875</xdr:rowOff>
    </xdr:from>
    <xdr:to>
      <xdr:col>19</xdr:col>
      <xdr:colOff>238125</xdr:colOff>
      <xdr:row>40</xdr:row>
      <xdr:rowOff>183603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FF369C-621E-E17E-AE66-59C6A749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5" r="26414" b="13231"/>
        <a:stretch>
          <a:fillRect/>
        </a:stretch>
      </xdr:blipFill>
      <xdr:spPr bwMode="auto">
        <a:xfrm>
          <a:off x="485775" y="142875"/>
          <a:ext cx="11334750" cy="766072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C169-3510-4C0D-8377-DF80A873BE51}">
  <dimension ref="A1:U17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4" sqref="C34"/>
    </sheetView>
  </sheetViews>
  <sheetFormatPr defaultRowHeight="16.5" x14ac:dyDescent="0.3"/>
  <cols>
    <col min="1" max="1" width="9.140625" style="41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26.28515625" style="7" bestFit="1" customWidth="1"/>
    <col min="10" max="10" width="21.7109375" style="1" bestFit="1" customWidth="1"/>
    <col min="11" max="11" width="15.42578125" style="7" bestFit="1" customWidth="1"/>
    <col min="12" max="12" width="21.5703125" style="1" bestFit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4.28515625" style="1" bestFit="1" customWidth="1"/>
    <col min="20" max="21" width="15.7109375" style="1" bestFit="1" customWidth="1"/>
    <col min="22" max="23" width="9.140625" style="1"/>
    <col min="24" max="24" width="11" style="1" bestFit="1" customWidth="1"/>
    <col min="25" max="16384" width="9.140625" style="1"/>
  </cols>
  <sheetData>
    <row r="1" spans="1:21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21" x14ac:dyDescent="0.3">
      <c r="B2" s="23" t="s">
        <v>11</v>
      </c>
      <c r="C2" s="65">
        <v>15789</v>
      </c>
      <c r="D2" s="7" t="s">
        <v>40</v>
      </c>
      <c r="E2" s="4"/>
      <c r="F2" s="4"/>
      <c r="G2" s="25"/>
      <c r="H2" s="1" t="s">
        <v>39</v>
      </c>
      <c r="I2" s="65">
        <v>2500</v>
      </c>
      <c r="J2" s="65">
        <f>C2</f>
        <v>15789</v>
      </c>
      <c r="K2" s="65">
        <f>I3</f>
        <v>232</v>
      </c>
      <c r="L2" s="19">
        <f>J2*K2</f>
        <v>3663048</v>
      </c>
      <c r="O2" s="62" t="s">
        <v>35</v>
      </c>
      <c r="P2" s="63">
        <f>C30</f>
        <v>44669400</v>
      </c>
      <c r="R2" s="20">
        <f>P2*0.025/12</f>
        <v>93061.25</v>
      </c>
      <c r="S2" s="18" t="s">
        <v>34</v>
      </c>
    </row>
    <row r="3" spans="1:21" x14ac:dyDescent="0.3">
      <c r="B3" s="24" t="s">
        <v>6</v>
      </c>
      <c r="C3" s="18">
        <v>1000</v>
      </c>
      <c r="D3" s="15"/>
      <c r="E3" s="26"/>
      <c r="F3" s="26"/>
      <c r="G3" s="15"/>
      <c r="H3" s="1" t="s">
        <v>40</v>
      </c>
      <c r="I3" s="65">
        <f>MROUND(I2/10.764,1)</f>
        <v>232</v>
      </c>
      <c r="J3" s="65"/>
      <c r="K3" s="54"/>
      <c r="L3" s="19">
        <f>N13</f>
        <v>28880400</v>
      </c>
      <c r="O3" s="62" t="s">
        <v>35</v>
      </c>
      <c r="P3" s="63">
        <f>C30</f>
        <v>44669400</v>
      </c>
      <c r="Q3" s="7"/>
      <c r="R3" s="20">
        <f>P3*0.04/12</f>
        <v>148898</v>
      </c>
      <c r="S3" s="64" t="s">
        <v>36</v>
      </c>
    </row>
    <row r="4" spans="1:21" x14ac:dyDescent="0.3">
      <c r="B4" s="32" t="s">
        <v>18</v>
      </c>
      <c r="C4" s="54">
        <f>ROUND((C2*C3),0)</f>
        <v>15789000</v>
      </c>
      <c r="F4" s="22"/>
      <c r="G4" s="22"/>
      <c r="I4" s="54"/>
      <c r="J4" s="65"/>
      <c r="K4" s="54"/>
      <c r="L4" s="19">
        <f>SUM(L2:L3)</f>
        <v>32543448</v>
      </c>
      <c r="O4" s="62" t="s">
        <v>35</v>
      </c>
      <c r="P4" s="63">
        <f>C30</f>
        <v>44669400</v>
      </c>
      <c r="Q4" s="7"/>
      <c r="R4" s="20">
        <f>P4*0.033/12</f>
        <v>122840.84999999999</v>
      </c>
      <c r="S4" s="18" t="s">
        <v>37</v>
      </c>
    </row>
    <row r="5" spans="1:21" x14ac:dyDescent="0.3">
      <c r="B5" s="13" t="s">
        <v>14</v>
      </c>
    </row>
    <row r="6" spans="1:21" s="3" customFormat="1" ht="38.25" x14ac:dyDescent="0.2">
      <c r="A6" s="42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3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4" t="s">
        <v>26</v>
      </c>
      <c r="N6" s="5" t="s">
        <v>17</v>
      </c>
      <c r="O6" s="5" t="s">
        <v>101</v>
      </c>
    </row>
    <row r="7" spans="1:21" s="3" customFormat="1" ht="15.75" thickBot="1" x14ac:dyDescent="0.25">
      <c r="A7" s="42"/>
      <c r="B7" s="4"/>
      <c r="C7" s="5" t="s">
        <v>43</v>
      </c>
      <c r="D7" s="4"/>
      <c r="E7" s="4"/>
      <c r="F7" s="4"/>
      <c r="G7" s="43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21" s="11" customFormat="1" ht="17.25" thickBot="1" x14ac:dyDescent="0.3">
      <c r="A8" s="50">
        <v>1</v>
      </c>
      <c r="B8" s="76" t="s">
        <v>90</v>
      </c>
      <c r="C8" s="97">
        <v>9590</v>
      </c>
      <c r="D8" s="51">
        <v>2009</v>
      </c>
      <c r="E8" s="51">
        <v>2024</v>
      </c>
      <c r="F8" s="51">
        <v>50</v>
      </c>
      <c r="G8" s="55">
        <v>1800</v>
      </c>
      <c r="H8" s="56">
        <f t="shared" ref="H8:H12" si="0">E8-D8</f>
        <v>15</v>
      </c>
      <c r="I8" s="56">
        <f t="shared" ref="I8:I12" si="1">F8-H8</f>
        <v>35</v>
      </c>
      <c r="J8" s="56">
        <f t="shared" ref="J8:J12" si="2">IF(H8&gt;=5,90*H8/F8,0)</f>
        <v>27</v>
      </c>
      <c r="K8" s="56">
        <f t="shared" ref="K8:K12" si="3">G8/100*J8</f>
        <v>486</v>
      </c>
      <c r="L8" s="56">
        <f t="shared" ref="L8:L12" si="4">ROUND((G8-K8),0)</f>
        <v>1314</v>
      </c>
      <c r="M8" s="56">
        <f t="shared" ref="M8:M12" si="5">O8-N8</f>
        <v>4660740</v>
      </c>
      <c r="N8" s="56">
        <f t="shared" ref="N8:N12" si="6">ROUND((L8*C8),0)</f>
        <v>12601260</v>
      </c>
      <c r="O8" s="56">
        <f t="shared" ref="O8:O12" si="7">ROUND((C8*G8),0)</f>
        <v>17262000</v>
      </c>
      <c r="P8" s="99"/>
    </row>
    <row r="9" spans="1:21" s="11" customFormat="1" ht="17.25" thickBot="1" x14ac:dyDescent="0.3">
      <c r="A9" s="52">
        <v>2</v>
      </c>
      <c r="B9" s="77" t="s">
        <v>87</v>
      </c>
      <c r="C9" s="98">
        <v>9590</v>
      </c>
      <c r="D9" s="51">
        <v>2009</v>
      </c>
      <c r="E9" s="51">
        <v>2024</v>
      </c>
      <c r="F9" s="51">
        <v>50</v>
      </c>
      <c r="G9" s="55">
        <v>1800</v>
      </c>
      <c r="H9" s="56">
        <f t="shared" si="0"/>
        <v>15</v>
      </c>
      <c r="I9" s="56">
        <f t="shared" si="1"/>
        <v>35</v>
      </c>
      <c r="J9" s="56">
        <f t="shared" si="2"/>
        <v>27</v>
      </c>
      <c r="K9" s="56">
        <f>G9/100*J9</f>
        <v>486</v>
      </c>
      <c r="L9" s="56">
        <f t="shared" si="4"/>
        <v>1314</v>
      </c>
      <c r="M9" s="56">
        <f t="shared" si="5"/>
        <v>4660740</v>
      </c>
      <c r="N9" s="56">
        <f t="shared" si="6"/>
        <v>12601260</v>
      </c>
      <c r="O9" s="56">
        <f t="shared" si="7"/>
        <v>17262000</v>
      </c>
      <c r="P9" s="99">
        <f>N8+N9</f>
        <v>25202520</v>
      </c>
    </row>
    <row r="10" spans="1:21" s="11" customFormat="1" ht="17.25" thickBot="1" x14ac:dyDescent="0.3">
      <c r="A10" s="52"/>
      <c r="B10" s="76" t="s">
        <v>90</v>
      </c>
      <c r="C10" s="98">
        <f>'After Approval'!C8-'As on Date'!C8</f>
        <v>4125</v>
      </c>
      <c r="D10" s="51">
        <v>2009</v>
      </c>
      <c r="E10" s="51">
        <v>2024</v>
      </c>
      <c r="F10" s="51">
        <v>15</v>
      </c>
      <c r="G10" s="55">
        <v>1800</v>
      </c>
      <c r="H10" s="56">
        <f t="shared" si="0"/>
        <v>15</v>
      </c>
      <c r="I10" s="56">
        <f t="shared" ref="I10:I11" si="8">F10-H10</f>
        <v>0</v>
      </c>
      <c r="J10" s="56">
        <f t="shared" ref="J10:J11" si="9">IF(H10&gt;=5,90*H10/F10,0)</f>
        <v>90</v>
      </c>
      <c r="K10" s="56">
        <f t="shared" ref="K10:K11" si="10">G10/100*J10</f>
        <v>1620</v>
      </c>
      <c r="L10" s="56">
        <f t="shared" ref="L10:L11" si="11">ROUND((G10-K10),0)</f>
        <v>180</v>
      </c>
      <c r="M10" s="56">
        <f t="shared" ref="M10:M11" si="12">O10-N10</f>
        <v>6682500</v>
      </c>
      <c r="N10" s="56">
        <f t="shared" ref="N10:N11" si="13">ROUND((L10*C10),0)</f>
        <v>742500</v>
      </c>
      <c r="O10" s="56">
        <f t="shared" ref="O10:O11" si="14">ROUND((C10*G10),0)</f>
        <v>7425000</v>
      </c>
    </row>
    <row r="11" spans="1:21" s="11" customFormat="1" ht="17.25" thickBot="1" x14ac:dyDescent="0.3">
      <c r="A11" s="52"/>
      <c r="B11" s="77" t="s">
        <v>87</v>
      </c>
      <c r="C11" s="98">
        <f>'After Approval'!C9-C9</f>
        <v>4536</v>
      </c>
      <c r="D11" s="51">
        <v>2009</v>
      </c>
      <c r="E11" s="51">
        <v>2024</v>
      </c>
      <c r="F11" s="51">
        <v>15</v>
      </c>
      <c r="G11" s="55">
        <v>1800</v>
      </c>
      <c r="H11" s="56">
        <f t="shared" si="0"/>
        <v>15</v>
      </c>
      <c r="I11" s="56">
        <f t="shared" si="8"/>
        <v>0</v>
      </c>
      <c r="J11" s="56">
        <f t="shared" si="9"/>
        <v>90</v>
      </c>
      <c r="K11" s="56">
        <f t="shared" si="10"/>
        <v>1620</v>
      </c>
      <c r="L11" s="56">
        <f t="shared" si="11"/>
        <v>180</v>
      </c>
      <c r="M11" s="56">
        <f t="shared" si="12"/>
        <v>7348320</v>
      </c>
      <c r="N11" s="56">
        <f t="shared" si="13"/>
        <v>816480</v>
      </c>
      <c r="O11" s="56">
        <f t="shared" si="14"/>
        <v>8164800</v>
      </c>
    </row>
    <row r="12" spans="1:21" s="11" customFormat="1" ht="17.25" customHeight="1" thickBot="1" x14ac:dyDescent="0.3">
      <c r="A12" s="50">
        <v>3</v>
      </c>
      <c r="B12" s="77" t="s">
        <v>106</v>
      </c>
      <c r="C12" s="98">
        <v>14126</v>
      </c>
      <c r="D12" s="51">
        <v>2009</v>
      </c>
      <c r="E12" s="51">
        <v>2024</v>
      </c>
      <c r="F12" s="51">
        <v>15</v>
      </c>
      <c r="G12" s="55">
        <v>1500</v>
      </c>
      <c r="H12" s="56">
        <f t="shared" si="0"/>
        <v>15</v>
      </c>
      <c r="I12" s="56">
        <f t="shared" si="1"/>
        <v>0</v>
      </c>
      <c r="J12" s="56">
        <f t="shared" si="2"/>
        <v>90</v>
      </c>
      <c r="K12" s="56">
        <f t="shared" si="3"/>
        <v>1350</v>
      </c>
      <c r="L12" s="56">
        <f t="shared" si="4"/>
        <v>150</v>
      </c>
      <c r="M12" s="56">
        <f t="shared" si="5"/>
        <v>19070100</v>
      </c>
      <c r="N12" s="56">
        <f t="shared" si="6"/>
        <v>2118900</v>
      </c>
      <c r="O12" s="56">
        <f t="shared" si="7"/>
        <v>21189000</v>
      </c>
    </row>
    <row r="13" spans="1:21" x14ac:dyDescent="0.3">
      <c r="A13" s="24"/>
      <c r="B13" s="102" t="s">
        <v>98</v>
      </c>
      <c r="C13" s="103">
        <f>SUM(C8:C12)</f>
        <v>41967</v>
      </c>
      <c r="D13" s="49"/>
      <c r="E13" s="49"/>
      <c r="F13" s="6"/>
      <c r="G13" s="56"/>
      <c r="H13" s="56"/>
      <c r="I13" s="56"/>
      <c r="J13" s="59"/>
      <c r="K13" s="56"/>
      <c r="L13" s="59"/>
      <c r="M13" s="104">
        <f>SUM(M8:M12)</f>
        <v>42422400</v>
      </c>
      <c r="N13" s="104">
        <f>SUM(N8:N12)</f>
        <v>28880400</v>
      </c>
      <c r="O13" s="104">
        <f>SUM(O8:O12)</f>
        <v>71302800</v>
      </c>
    </row>
    <row r="14" spans="1:21" x14ac:dyDescent="0.3">
      <c r="B14" s="10"/>
      <c r="C14" s="11"/>
      <c r="D14" s="11"/>
      <c r="E14" s="11"/>
      <c r="F14" s="12"/>
      <c r="G14" s="12"/>
      <c r="H14" s="12"/>
      <c r="I14" s="12"/>
      <c r="J14" s="11"/>
      <c r="K14" s="16"/>
      <c r="L14" s="17"/>
      <c r="M14" s="12"/>
      <c r="N14" s="27"/>
      <c r="O14" s="27"/>
      <c r="S14" s="105">
        <v>4660740</v>
      </c>
      <c r="T14" s="105">
        <v>12601260</v>
      </c>
      <c r="U14" s="105">
        <v>17262000</v>
      </c>
    </row>
    <row r="15" spans="1:21" x14ac:dyDescent="0.3">
      <c r="B15" s="106" t="s">
        <v>20</v>
      </c>
      <c r="C15" s="106"/>
      <c r="D15" s="11"/>
      <c r="E15" s="11"/>
      <c r="F15" s="12"/>
      <c r="G15" s="12"/>
      <c r="H15" s="78"/>
      <c r="I15" s="78"/>
      <c r="J15" s="78"/>
      <c r="K15" s="27"/>
      <c r="L15" s="27"/>
      <c r="M15" s="78"/>
      <c r="N15" s="27"/>
      <c r="O15" s="27"/>
      <c r="S15" s="105">
        <v>4660740</v>
      </c>
      <c r="T15" s="105">
        <v>12601260</v>
      </c>
      <c r="U15" s="105">
        <v>17262000</v>
      </c>
    </row>
    <row r="16" spans="1:21" x14ac:dyDescent="0.3">
      <c r="B16" s="23" t="s">
        <v>19</v>
      </c>
      <c r="C16" s="60">
        <v>0</v>
      </c>
      <c r="D16" s="11"/>
      <c r="E16" s="11"/>
      <c r="F16" s="12"/>
      <c r="G16" s="12"/>
      <c r="H16" s="78"/>
      <c r="I16" s="78"/>
      <c r="J16" s="78"/>
      <c r="K16" s="27"/>
      <c r="L16" s="27"/>
      <c r="M16" s="78"/>
      <c r="N16" s="27"/>
      <c r="O16" s="27"/>
      <c r="S16" s="105">
        <f>SUM(S14:S15)</f>
        <v>9321480</v>
      </c>
      <c r="T16" s="105">
        <f t="shared" ref="T16:U16" si="15">SUM(T14:T15)</f>
        <v>25202520</v>
      </c>
      <c r="U16" s="105">
        <f t="shared" si="15"/>
        <v>34524000</v>
      </c>
    </row>
    <row r="17" spans="1:16" x14ac:dyDescent="0.3">
      <c r="B17" s="24" t="s">
        <v>6</v>
      </c>
      <c r="C17" s="53">
        <v>0</v>
      </c>
      <c r="D17" s="11"/>
      <c r="E17" s="11"/>
      <c r="F17" s="12"/>
      <c r="G17" s="12"/>
      <c r="H17" s="78"/>
      <c r="I17" s="78" t="s">
        <v>94</v>
      </c>
      <c r="J17" s="78"/>
      <c r="K17" s="27"/>
      <c r="L17" s="22"/>
      <c r="M17" s="78"/>
      <c r="N17" s="27"/>
      <c r="O17" s="27"/>
    </row>
    <row r="18" spans="1:16" x14ac:dyDescent="0.3">
      <c r="B18" s="24" t="s">
        <v>7</v>
      </c>
      <c r="C18" s="58">
        <f>ROUND((C16*C17),0)</f>
        <v>0</v>
      </c>
      <c r="D18" s="11"/>
      <c r="E18" s="11"/>
      <c r="F18" s="12"/>
      <c r="G18" s="12">
        <f>800000/100</f>
        <v>8000</v>
      </c>
      <c r="H18" s="78"/>
      <c r="I18" s="78" t="s">
        <v>46</v>
      </c>
      <c r="J18" s="78">
        <v>95</v>
      </c>
      <c r="K18" s="27">
        <v>138.5</v>
      </c>
      <c r="L18" s="27">
        <f>J18*K18</f>
        <v>13157.5</v>
      </c>
      <c r="M18" s="79" t="s">
        <v>95</v>
      </c>
      <c r="N18" s="27"/>
      <c r="O18" s="27"/>
    </row>
    <row r="19" spans="1:16" x14ac:dyDescent="0.3">
      <c r="B19" s="10"/>
      <c r="C19" s="11"/>
      <c r="D19" s="11"/>
      <c r="E19" s="11"/>
      <c r="F19" s="12"/>
      <c r="G19" s="12">
        <f>G18/10.764</f>
        <v>743.21813452248239</v>
      </c>
      <c r="H19" s="78"/>
      <c r="I19" s="22" t="s">
        <v>99</v>
      </c>
      <c r="J19" s="22">
        <v>1.5</v>
      </c>
      <c r="K19" s="22">
        <v>1.5</v>
      </c>
      <c r="N19" s="27"/>
      <c r="O19" s="27"/>
    </row>
    <row r="20" spans="1:16" ht="22.5" customHeight="1" x14ac:dyDescent="0.3">
      <c r="B20" s="107" t="s">
        <v>15</v>
      </c>
      <c r="C20" s="108"/>
      <c r="D20" s="11"/>
      <c r="E20" s="11"/>
      <c r="F20" s="12"/>
      <c r="G20" s="12"/>
      <c r="H20" s="78"/>
      <c r="I20" s="81" t="s">
        <v>100</v>
      </c>
      <c r="J20" s="1">
        <f>SUM(J18:J19)</f>
        <v>96.5</v>
      </c>
      <c r="K20" s="75">
        <f>SUM(K18:K19)</f>
        <v>140</v>
      </c>
      <c r="L20" s="31">
        <f>J20*K20</f>
        <v>13510</v>
      </c>
      <c r="N20" s="78"/>
      <c r="O20" s="12"/>
    </row>
    <row r="21" spans="1:16" x14ac:dyDescent="0.3">
      <c r="B21" s="23" t="s">
        <v>11</v>
      </c>
      <c r="C21" s="60">
        <f>C2-C8</f>
        <v>6199</v>
      </c>
      <c r="E21" s="28"/>
      <c r="F21" s="28"/>
      <c r="G21" s="29">
        <v>10000</v>
      </c>
      <c r="H21" s="80"/>
      <c r="N21" s="22"/>
    </row>
    <row r="22" spans="1:16" x14ac:dyDescent="0.3">
      <c r="B22" s="24" t="s">
        <v>6</v>
      </c>
      <c r="C22" s="53">
        <v>0</v>
      </c>
      <c r="D22" s="30"/>
      <c r="E22" s="22"/>
      <c r="F22" s="22"/>
      <c r="G22" s="16">
        <f>G21/10.764</f>
        <v>929.02266815310304</v>
      </c>
      <c r="H22" s="80"/>
      <c r="I22" s="81" t="s">
        <v>102</v>
      </c>
    </row>
    <row r="23" spans="1:16" x14ac:dyDescent="0.3">
      <c r="B23" s="24" t="s">
        <v>7</v>
      </c>
      <c r="C23" s="58">
        <f>ROUND((C21*C22),0)</f>
        <v>0</v>
      </c>
      <c r="D23" s="9"/>
      <c r="E23" s="9"/>
      <c r="F23" s="21"/>
      <c r="H23" s="80"/>
      <c r="I23" s="78" t="s">
        <v>46</v>
      </c>
      <c r="J23" s="78">
        <v>96.5</v>
      </c>
      <c r="K23" s="27">
        <v>140</v>
      </c>
      <c r="L23" s="27">
        <f>J23*K23</f>
        <v>13510</v>
      </c>
      <c r="M23" s="92" t="s">
        <v>19</v>
      </c>
      <c r="N23" s="22"/>
    </row>
    <row r="24" spans="1:16" x14ac:dyDescent="0.3">
      <c r="B24" s="41"/>
      <c r="C24" s="19"/>
      <c r="D24" s="9"/>
      <c r="E24" s="9"/>
      <c r="F24" s="21"/>
      <c r="H24" s="80"/>
      <c r="I24" s="22" t="s">
        <v>97</v>
      </c>
      <c r="J24" s="22">
        <v>19</v>
      </c>
      <c r="K24" s="22">
        <v>10.8</v>
      </c>
      <c r="L24" s="22">
        <f>J24*K24</f>
        <v>205.20000000000002</v>
      </c>
      <c r="M24" s="22"/>
      <c r="N24" s="22"/>
    </row>
    <row r="25" spans="1:16" x14ac:dyDescent="0.3">
      <c r="C25" s="9"/>
      <c r="D25" s="9"/>
      <c r="E25" s="9"/>
      <c r="F25" s="21"/>
      <c r="H25" s="80"/>
      <c r="I25" s="81" t="s">
        <v>98</v>
      </c>
      <c r="L25" s="63">
        <f>L23+L24</f>
        <v>13715.2</v>
      </c>
      <c r="N25" s="22"/>
    </row>
    <row r="26" spans="1:16" x14ac:dyDescent="0.3">
      <c r="B26" s="2" t="s">
        <v>13</v>
      </c>
      <c r="C26" s="19">
        <f>C4</f>
        <v>15789000</v>
      </c>
      <c r="D26" s="19"/>
      <c r="E26" s="19"/>
      <c r="F26" s="19"/>
      <c r="G26" s="19"/>
      <c r="H26" s="82"/>
      <c r="N26" s="22"/>
    </row>
    <row r="27" spans="1:16" x14ac:dyDescent="0.3">
      <c r="B27" s="2" t="s">
        <v>14</v>
      </c>
      <c r="C27" s="19">
        <f>N13</f>
        <v>28880400</v>
      </c>
      <c r="D27" s="19"/>
      <c r="E27" s="19"/>
      <c r="F27" s="19"/>
      <c r="G27" s="19"/>
      <c r="H27" s="82"/>
      <c r="I27" s="78" t="s">
        <v>47</v>
      </c>
      <c r="J27" s="78">
        <v>96.5</v>
      </c>
      <c r="K27" s="27">
        <v>140</v>
      </c>
      <c r="L27" s="27">
        <f>J27*K27</f>
        <v>13510</v>
      </c>
      <c r="M27" s="92" t="s">
        <v>19</v>
      </c>
      <c r="N27" s="22">
        <v>152.30000000000001</v>
      </c>
      <c r="O27" s="7">
        <v>141.5</v>
      </c>
      <c r="P27" s="1">
        <f>N27-O27</f>
        <v>10.800000000000011</v>
      </c>
    </row>
    <row r="28" spans="1:16" x14ac:dyDescent="0.3">
      <c r="B28" s="2" t="s">
        <v>21</v>
      </c>
      <c r="C28" s="19">
        <f>C18</f>
        <v>0</v>
      </c>
      <c r="D28" s="19"/>
      <c r="E28" s="19"/>
      <c r="F28" s="19"/>
      <c r="G28" s="19"/>
      <c r="H28" s="82"/>
      <c r="I28" s="93" t="s">
        <v>96</v>
      </c>
      <c r="J28" s="22">
        <v>73.599999999999994</v>
      </c>
      <c r="K28" s="22">
        <v>5</v>
      </c>
      <c r="L28" s="22">
        <f>J28*K28</f>
        <v>368</v>
      </c>
      <c r="M28" s="94">
        <f>L27*0.01</f>
        <v>135.1</v>
      </c>
      <c r="N28" s="22"/>
    </row>
    <row r="29" spans="1:16" x14ac:dyDescent="0.3">
      <c r="A29" s="1"/>
      <c r="B29" s="2" t="s">
        <v>12</v>
      </c>
      <c r="C29" s="19">
        <f>C23</f>
        <v>0</v>
      </c>
      <c r="D29" s="19"/>
      <c r="E29" s="19"/>
      <c r="F29" s="19"/>
      <c r="G29" s="19"/>
      <c r="H29" s="82"/>
      <c r="I29" s="22" t="s">
        <v>97</v>
      </c>
      <c r="J29" s="1">
        <v>23</v>
      </c>
      <c r="K29" s="22">
        <v>10.8</v>
      </c>
      <c r="L29" s="22">
        <f>J29*K29</f>
        <v>248.4</v>
      </c>
      <c r="N29" s="22"/>
    </row>
    <row r="30" spans="1:16" x14ac:dyDescent="0.3">
      <c r="A30" s="1"/>
      <c r="B30" s="13" t="s">
        <v>8</v>
      </c>
      <c r="C30" s="20">
        <f>C26+C27+C28+C29</f>
        <v>44669400</v>
      </c>
      <c r="D30" s="18">
        <f>C30/C13</f>
        <v>1064.3934519979985</v>
      </c>
      <c r="F30" s="18"/>
      <c r="H30" s="22"/>
      <c r="I30" s="81" t="s">
        <v>98</v>
      </c>
      <c r="L30" s="63">
        <f>SUM(L27:L29)</f>
        <v>14126.4</v>
      </c>
      <c r="M30" s="22"/>
      <c r="N30" s="22"/>
    </row>
    <row r="31" spans="1:16" x14ac:dyDescent="0.3">
      <c r="A31" s="1"/>
      <c r="B31" s="13" t="s">
        <v>9</v>
      </c>
      <c r="C31" s="20">
        <f>MROUND(C30*85%,1)</f>
        <v>37968990</v>
      </c>
      <c r="D31" s="20"/>
      <c r="F31" s="18"/>
      <c r="H31" s="83"/>
      <c r="M31" s="22"/>
      <c r="N31" s="22"/>
    </row>
    <row r="32" spans="1:16" x14ac:dyDescent="0.3">
      <c r="A32" s="1"/>
      <c r="B32" s="13" t="s">
        <v>10</v>
      </c>
      <c r="C32" s="20">
        <f>MROUND(C30*70%,1)</f>
        <v>31268580</v>
      </c>
      <c r="D32" s="20"/>
      <c r="F32" s="18"/>
      <c r="H32" s="83"/>
      <c r="I32" s="93" t="s">
        <v>48</v>
      </c>
      <c r="J32" s="78">
        <v>96.5</v>
      </c>
      <c r="K32" s="27">
        <v>140</v>
      </c>
      <c r="L32" s="27">
        <f>J32*K32</f>
        <v>13510</v>
      </c>
      <c r="M32" s="22"/>
      <c r="N32" s="22"/>
    </row>
    <row r="33" spans="1:19" x14ac:dyDescent="0.3">
      <c r="A33" s="1"/>
      <c r="B33" s="2" t="s">
        <v>24</v>
      </c>
      <c r="C33" s="19">
        <f>C27</f>
        <v>28880400</v>
      </c>
      <c r="D33" s="31"/>
      <c r="H33" s="22"/>
      <c r="I33" s="93" t="s">
        <v>96</v>
      </c>
      <c r="J33" s="22">
        <v>73.599999999999994</v>
      </c>
      <c r="K33" s="22">
        <v>5</v>
      </c>
      <c r="L33" s="22">
        <f>J33*K33</f>
        <v>368</v>
      </c>
      <c r="M33" s="22"/>
      <c r="N33" s="22"/>
    </row>
    <row r="34" spans="1:19" x14ac:dyDescent="0.3">
      <c r="A34" s="1"/>
      <c r="B34" s="13" t="s">
        <v>41</v>
      </c>
      <c r="C34" s="100">
        <f>MROUND(C33*0.85,1)</f>
        <v>24548340</v>
      </c>
      <c r="H34" s="22"/>
      <c r="I34" s="22" t="s">
        <v>97</v>
      </c>
      <c r="J34" s="1">
        <v>23</v>
      </c>
      <c r="K34" s="22">
        <v>10.8</v>
      </c>
      <c r="L34" s="22">
        <f>J34*K34</f>
        <v>248.4</v>
      </c>
      <c r="M34" s="22"/>
      <c r="N34" s="22"/>
      <c r="O34" s="35"/>
    </row>
    <row r="35" spans="1:19" x14ac:dyDescent="0.3">
      <c r="A35" s="1"/>
      <c r="H35" s="22"/>
      <c r="I35" s="95" t="s">
        <v>98</v>
      </c>
      <c r="J35" s="22"/>
      <c r="K35" s="22"/>
      <c r="L35" s="96">
        <f>SUM(L32:L34)</f>
        <v>14126.4</v>
      </c>
      <c r="M35" s="22"/>
      <c r="N35" s="22"/>
      <c r="O35" s="35"/>
    </row>
    <row r="36" spans="1:19" x14ac:dyDescent="0.3">
      <c r="A36" s="1"/>
      <c r="H36" s="22"/>
      <c r="I36" s="22"/>
      <c r="J36" s="22"/>
      <c r="K36" s="22"/>
      <c r="L36" s="84"/>
      <c r="M36" s="22"/>
      <c r="N36" s="22"/>
      <c r="O36" s="35"/>
    </row>
    <row r="37" spans="1:19" x14ac:dyDescent="0.3">
      <c r="A37" s="1"/>
      <c r="H37" s="22"/>
      <c r="I37" s="22"/>
      <c r="J37" s="22"/>
      <c r="K37" s="22"/>
      <c r="L37" s="84"/>
      <c r="M37" s="22"/>
      <c r="N37" s="22"/>
      <c r="O37" s="35"/>
    </row>
    <row r="38" spans="1:19" x14ac:dyDescent="0.3">
      <c r="A38" s="1"/>
      <c r="H38" s="83"/>
      <c r="I38" s="83"/>
      <c r="J38" s="22"/>
      <c r="K38" s="22"/>
      <c r="L38" s="84"/>
      <c r="M38" s="22"/>
      <c r="N38" s="22"/>
      <c r="O38" s="35"/>
    </row>
    <row r="39" spans="1:19" x14ac:dyDescent="0.3">
      <c r="A39" s="1"/>
      <c r="H39" s="22"/>
      <c r="I39" s="22"/>
      <c r="J39" s="22"/>
      <c r="K39" s="22"/>
      <c r="L39" s="84"/>
      <c r="M39" s="22"/>
      <c r="N39" s="22"/>
      <c r="O39" s="35"/>
    </row>
    <row r="40" spans="1:19" x14ac:dyDescent="0.3">
      <c r="A40" s="1"/>
      <c r="H40" s="22"/>
      <c r="I40" s="22"/>
      <c r="J40" s="22"/>
      <c r="K40" s="22"/>
      <c r="L40" s="84"/>
      <c r="M40" s="22"/>
      <c r="N40" s="22"/>
      <c r="O40" s="35"/>
    </row>
    <row r="41" spans="1:19" x14ac:dyDescent="0.3">
      <c r="A41" s="1"/>
      <c r="H41" s="22"/>
      <c r="I41" s="22"/>
      <c r="J41" s="22"/>
      <c r="K41" s="22"/>
      <c r="L41" s="84"/>
      <c r="M41" s="22"/>
      <c r="N41" s="22"/>
      <c r="O41" s="35"/>
    </row>
    <row r="42" spans="1:19" x14ac:dyDescent="0.3">
      <c r="A42" s="1"/>
      <c r="H42" s="22"/>
      <c r="I42" s="22"/>
      <c r="J42" s="22"/>
      <c r="K42" s="22"/>
      <c r="L42" s="84"/>
      <c r="M42" s="22"/>
      <c r="N42" s="22"/>
      <c r="O42" s="35"/>
    </row>
    <row r="43" spans="1:19" x14ac:dyDescent="0.3">
      <c r="A43" s="1"/>
      <c r="H43" s="22"/>
      <c r="I43" s="22"/>
      <c r="J43" s="22"/>
      <c r="K43" s="22"/>
      <c r="L43" s="22"/>
      <c r="M43" s="22"/>
      <c r="N43" s="22"/>
    </row>
    <row r="44" spans="1:19" ht="17.25" thickBot="1" x14ac:dyDescent="0.35">
      <c r="A44" s="1"/>
      <c r="H44" s="22"/>
      <c r="I44" s="85"/>
      <c r="J44" s="86" t="s">
        <v>93</v>
      </c>
      <c r="K44" s="85"/>
      <c r="L44" s="85"/>
      <c r="M44" s="85"/>
      <c r="N44" s="85"/>
      <c r="O44"/>
      <c r="P44"/>
      <c r="Q44"/>
      <c r="R44" s="66" t="s">
        <v>49</v>
      </c>
      <c r="S44"/>
    </row>
    <row r="45" spans="1:19" ht="17.25" thickBot="1" x14ac:dyDescent="0.35">
      <c r="A45" s="1"/>
      <c r="B45" s="1"/>
      <c r="H45" s="22"/>
      <c r="I45" s="85"/>
      <c r="J45" s="85" t="s">
        <v>50</v>
      </c>
      <c r="K45" s="87">
        <v>9590</v>
      </c>
      <c r="L45" s="85"/>
      <c r="M45" s="85"/>
      <c r="N45" s="85"/>
      <c r="O45"/>
      <c r="P45"/>
      <c r="Q45"/>
      <c r="R45" t="s">
        <v>51</v>
      </c>
      <c r="S45"/>
    </row>
    <row r="46" spans="1:19" ht="17.25" thickBot="1" x14ac:dyDescent="0.35">
      <c r="A46" s="1"/>
      <c r="B46" s="1"/>
      <c r="H46" s="22"/>
      <c r="I46" s="85"/>
      <c r="J46" s="85" t="s">
        <v>52</v>
      </c>
      <c r="K46" s="88">
        <v>9590</v>
      </c>
      <c r="L46" s="85"/>
      <c r="M46" s="85"/>
      <c r="N46" s="85"/>
      <c r="O46"/>
      <c r="P46"/>
      <c r="Q46"/>
      <c r="R46" t="s">
        <v>53</v>
      </c>
      <c r="S46">
        <v>14157</v>
      </c>
    </row>
    <row r="47" spans="1:19" x14ac:dyDescent="0.3">
      <c r="A47" s="1"/>
      <c r="B47" s="1"/>
      <c r="H47" s="22"/>
      <c r="I47" s="85"/>
      <c r="J47" s="89"/>
      <c r="K47" s="101">
        <f>K46+K45</f>
        <v>19180</v>
      </c>
      <c r="L47" s="85"/>
      <c r="M47" s="85"/>
      <c r="N47" s="85"/>
      <c r="O47"/>
      <c r="P47"/>
      <c r="Q47"/>
      <c r="R47" t="s">
        <v>54</v>
      </c>
      <c r="S47">
        <v>13248</v>
      </c>
    </row>
    <row r="48" spans="1:19" x14ac:dyDescent="0.3">
      <c r="A48" s="1"/>
      <c r="B48" s="1"/>
      <c r="H48" s="22"/>
      <c r="I48" s="85"/>
      <c r="J48" s="89"/>
      <c r="K48" s="89"/>
      <c r="L48" s="85"/>
      <c r="M48" s="85"/>
      <c r="N48" s="85"/>
      <c r="O48"/>
      <c r="P48"/>
      <c r="Q48"/>
      <c r="R48" s="67" t="s">
        <v>55</v>
      </c>
      <c r="S48" s="67">
        <f>S47+S46</f>
        <v>27405</v>
      </c>
    </row>
    <row r="49" spans="1:19" x14ac:dyDescent="0.3">
      <c r="A49" s="1"/>
      <c r="B49" s="1"/>
      <c r="H49" s="22"/>
      <c r="I49" s="85"/>
      <c r="J49" s="86" t="s">
        <v>56</v>
      </c>
      <c r="K49" s="85"/>
      <c r="L49" s="85"/>
      <c r="M49" s="85"/>
      <c r="N49" s="85"/>
      <c r="O49"/>
      <c r="P49"/>
      <c r="Q49"/>
      <c r="R49" t="s">
        <v>57</v>
      </c>
      <c r="S49">
        <v>13248</v>
      </c>
    </row>
    <row r="50" spans="1:19" x14ac:dyDescent="0.3">
      <c r="A50" s="1"/>
      <c r="B50" s="1"/>
      <c r="H50" s="22"/>
      <c r="I50" s="85"/>
      <c r="J50" s="89" t="s">
        <v>58</v>
      </c>
      <c r="K50" s="85"/>
      <c r="L50" s="85"/>
      <c r="M50" s="85"/>
      <c r="N50" s="85"/>
      <c r="O50"/>
      <c r="P50"/>
      <c r="Q50"/>
      <c r="R50"/>
      <c r="S50" s="68"/>
    </row>
    <row r="51" spans="1:19" x14ac:dyDescent="0.3">
      <c r="A51" s="1"/>
      <c r="B51" s="1"/>
      <c r="H51" s="22"/>
      <c r="I51" s="85" t="s">
        <v>58</v>
      </c>
      <c r="J51" s="85">
        <v>139.94999999999999</v>
      </c>
      <c r="K51" s="85">
        <v>95.06</v>
      </c>
      <c r="L51" s="85">
        <f>K51*J51</f>
        <v>13303.646999999999</v>
      </c>
      <c r="M51" s="85"/>
      <c r="N51" s="85"/>
      <c r="O51"/>
      <c r="P51"/>
      <c r="Q51"/>
      <c r="R51"/>
      <c r="S51" s="69"/>
    </row>
    <row r="52" spans="1:19" x14ac:dyDescent="0.3">
      <c r="A52" s="1"/>
      <c r="B52" s="1"/>
      <c r="H52" s="22"/>
      <c r="I52" s="85" t="s">
        <v>59</v>
      </c>
      <c r="J52" s="85">
        <v>12.72</v>
      </c>
      <c r="K52" s="85">
        <v>110.12</v>
      </c>
      <c r="L52" s="85">
        <f t="shared" ref="L52:L67" si="16">K52*J52</f>
        <v>1400.7264000000002</v>
      </c>
      <c r="M52" s="85"/>
      <c r="N52" s="85"/>
      <c r="O52"/>
      <c r="P52"/>
      <c r="Q52"/>
      <c r="R52"/>
      <c r="S52" s="69"/>
    </row>
    <row r="53" spans="1:19" x14ac:dyDescent="0.3">
      <c r="A53" s="1"/>
      <c r="B53" s="1"/>
      <c r="H53" s="22"/>
      <c r="I53" s="85"/>
      <c r="J53" s="85"/>
      <c r="K53" s="85" t="s">
        <v>55</v>
      </c>
      <c r="L53" s="89">
        <f>L52+L51</f>
        <v>14704.373399999999</v>
      </c>
      <c r="M53" s="85"/>
      <c r="N53" s="85"/>
      <c r="O53"/>
      <c r="P53"/>
      <c r="Q53"/>
      <c r="R53"/>
      <c r="S53" s="69"/>
    </row>
    <row r="54" spans="1:19" x14ac:dyDescent="0.3">
      <c r="A54" s="1"/>
      <c r="B54" s="1"/>
      <c r="F54" s="37"/>
      <c r="G54" s="37"/>
      <c r="H54" s="90"/>
      <c r="I54" s="85"/>
      <c r="J54" s="85"/>
      <c r="K54" s="85"/>
      <c r="L54" s="89"/>
      <c r="M54" s="89"/>
      <c r="N54" s="85"/>
      <c r="O54"/>
      <c r="P54"/>
      <c r="Q54"/>
      <c r="R54"/>
      <c r="S54" s="69"/>
    </row>
    <row r="55" spans="1:19" x14ac:dyDescent="0.3">
      <c r="A55" s="1"/>
      <c r="B55" s="1"/>
      <c r="F55" s="35"/>
      <c r="G55" s="1"/>
      <c r="H55" s="91"/>
      <c r="I55" s="85"/>
      <c r="J55" s="85"/>
      <c r="K55" s="85"/>
      <c r="L55" s="85"/>
      <c r="M55" s="85"/>
      <c r="N55" s="85"/>
      <c r="O55"/>
      <c r="P55"/>
      <c r="Q55"/>
      <c r="R55"/>
      <c r="S55" s="69"/>
    </row>
    <row r="56" spans="1:19" x14ac:dyDescent="0.3">
      <c r="A56" s="1"/>
      <c r="B56" s="1"/>
      <c r="F56" s="35"/>
      <c r="G56" s="35"/>
      <c r="H56" s="91"/>
      <c r="I56" s="85"/>
      <c r="J56" s="89" t="s">
        <v>54</v>
      </c>
      <c r="K56" s="89" t="s">
        <v>60</v>
      </c>
      <c r="L56" s="85"/>
      <c r="M56" s="85"/>
      <c r="N56" s="85"/>
      <c r="O56"/>
      <c r="P56"/>
      <c r="Q56"/>
      <c r="R56"/>
      <c r="S56" s="69"/>
    </row>
    <row r="57" spans="1:19" x14ac:dyDescent="0.3">
      <c r="A57" s="1"/>
      <c r="B57" s="1"/>
      <c r="F57" s="35"/>
      <c r="G57" s="35"/>
      <c r="H57" s="91"/>
      <c r="I57" s="85" t="s">
        <v>61</v>
      </c>
      <c r="J57" s="85">
        <v>9.5299999999999994</v>
      </c>
      <c r="K57" s="85">
        <v>5.36</v>
      </c>
      <c r="L57" s="85">
        <f t="shared" si="16"/>
        <v>51.080799999999996</v>
      </c>
      <c r="M57" s="85"/>
      <c r="N57" s="85"/>
      <c r="O57"/>
      <c r="P57"/>
      <c r="Q57"/>
      <c r="R57"/>
      <c r="S57" s="69"/>
    </row>
    <row r="58" spans="1:19" x14ac:dyDescent="0.3">
      <c r="A58" s="1"/>
      <c r="B58" s="1"/>
      <c r="F58" s="35"/>
      <c r="G58" s="39"/>
      <c r="H58" s="91"/>
      <c r="I58" s="85" t="s">
        <v>62</v>
      </c>
      <c r="J58" s="85">
        <v>9.76</v>
      </c>
      <c r="K58" s="85">
        <v>5.13</v>
      </c>
      <c r="L58" s="85">
        <f t="shared" si="16"/>
        <v>50.068799999999996</v>
      </c>
      <c r="M58" s="85"/>
      <c r="N58" s="85"/>
      <c r="O58"/>
      <c r="P58"/>
      <c r="Q58"/>
      <c r="R58"/>
      <c r="S58" s="69"/>
    </row>
    <row r="59" spans="1:19" x14ac:dyDescent="0.3">
      <c r="A59" s="1"/>
      <c r="B59" s="1"/>
      <c r="F59" s="35"/>
      <c r="G59" s="35"/>
      <c r="H59" s="91"/>
      <c r="I59" s="85" t="s">
        <v>63</v>
      </c>
      <c r="J59" s="85">
        <v>94.95</v>
      </c>
      <c r="K59" s="85">
        <v>139.96</v>
      </c>
      <c r="L59" s="85">
        <f t="shared" si="16"/>
        <v>13289.202000000001</v>
      </c>
      <c r="M59" s="85"/>
      <c r="N59" s="85"/>
      <c r="O59"/>
      <c r="P59"/>
      <c r="Q59"/>
      <c r="R59"/>
      <c r="S59" s="69"/>
    </row>
    <row r="60" spans="1:19" x14ac:dyDescent="0.3">
      <c r="A60" s="1"/>
      <c r="B60" s="1"/>
      <c r="F60" s="35"/>
      <c r="G60" s="35"/>
      <c r="H60" s="91"/>
      <c r="I60" s="85" t="s">
        <v>64</v>
      </c>
      <c r="J60" s="85">
        <v>5.09</v>
      </c>
      <c r="K60" s="85">
        <v>66.39</v>
      </c>
      <c r="L60" s="85">
        <f t="shared" si="16"/>
        <v>337.92509999999999</v>
      </c>
      <c r="M60" s="85"/>
      <c r="N60" s="85"/>
      <c r="O60"/>
      <c r="P60"/>
      <c r="Q60"/>
      <c r="R60"/>
      <c r="S60"/>
    </row>
    <row r="61" spans="1:19" x14ac:dyDescent="0.3">
      <c r="A61" s="1"/>
      <c r="B61" s="1"/>
      <c r="F61" s="35"/>
      <c r="G61" s="35"/>
      <c r="H61" s="91"/>
      <c r="I61" s="85" t="s">
        <v>59</v>
      </c>
      <c r="J61" s="85">
        <v>10.050000000000001</v>
      </c>
      <c r="K61" s="85">
        <v>16.88</v>
      </c>
      <c r="L61" s="85">
        <f t="shared" si="16"/>
        <v>169.64400000000001</v>
      </c>
      <c r="M61" s="85"/>
      <c r="N61" s="85"/>
      <c r="O61"/>
      <c r="P61"/>
      <c r="Q61"/>
      <c r="R61"/>
      <c r="S61"/>
    </row>
    <row r="62" spans="1:19" x14ac:dyDescent="0.3">
      <c r="A62" s="1"/>
      <c r="B62" s="1"/>
      <c r="F62" s="35"/>
      <c r="G62" s="35"/>
      <c r="H62" s="91"/>
      <c r="I62" s="85"/>
      <c r="J62" s="85"/>
      <c r="K62" s="85"/>
      <c r="L62" s="89">
        <f>SUM(L57:L61)</f>
        <v>13897.920700000002</v>
      </c>
      <c r="M62" s="89"/>
      <c r="N62" s="85"/>
      <c r="O62"/>
      <c r="P62"/>
      <c r="Q62"/>
      <c r="R62"/>
      <c r="S62" s="69"/>
    </row>
    <row r="63" spans="1:19" x14ac:dyDescent="0.3">
      <c r="A63" s="1"/>
      <c r="B63" s="1"/>
      <c r="F63" s="35"/>
      <c r="G63" s="35"/>
      <c r="H63" s="91"/>
      <c r="I63" s="85"/>
      <c r="J63" s="109" t="s">
        <v>65</v>
      </c>
      <c r="K63" s="109"/>
      <c r="L63" s="89">
        <f>L62+L53</f>
        <v>28602.294099999999</v>
      </c>
      <c r="M63" s="89"/>
      <c r="N63" s="85"/>
      <c r="O63"/>
      <c r="P63"/>
      <c r="Q63"/>
      <c r="R63"/>
      <c r="S63" s="69"/>
    </row>
    <row r="64" spans="1:19" x14ac:dyDescent="0.3">
      <c r="A64" s="1"/>
      <c r="B64" s="1"/>
      <c r="F64" s="35"/>
      <c r="G64" s="35"/>
      <c r="H64" s="91"/>
      <c r="I64" s="85"/>
      <c r="J64" s="89" t="s">
        <v>66</v>
      </c>
      <c r="K64" s="85"/>
      <c r="L64" s="85"/>
      <c r="M64" s="85"/>
      <c r="N64" s="85"/>
      <c r="O64"/>
      <c r="P64"/>
      <c r="Q64"/>
      <c r="R64"/>
      <c r="S64"/>
    </row>
    <row r="65" spans="1:19" x14ac:dyDescent="0.3">
      <c r="A65" s="1"/>
      <c r="B65" s="1"/>
      <c r="H65" s="22"/>
      <c r="I65" s="85" t="s">
        <v>67</v>
      </c>
      <c r="J65" s="85">
        <v>94.55</v>
      </c>
      <c r="K65" s="85">
        <v>140.1</v>
      </c>
      <c r="L65" s="85">
        <f t="shared" si="16"/>
        <v>13246.455</v>
      </c>
      <c r="M65" s="85"/>
      <c r="N65" s="85"/>
      <c r="O65"/>
      <c r="P65"/>
      <c r="Q65"/>
      <c r="R65"/>
      <c r="S65"/>
    </row>
    <row r="66" spans="1:19" x14ac:dyDescent="0.3">
      <c r="A66" s="1"/>
      <c r="B66" s="1"/>
      <c r="H66" s="22"/>
      <c r="I66" s="85" t="s">
        <v>68</v>
      </c>
      <c r="J66" s="85">
        <v>5.19</v>
      </c>
      <c r="K66" s="85">
        <v>65.64</v>
      </c>
      <c r="L66" s="85">
        <f t="shared" si="16"/>
        <v>340.67160000000001</v>
      </c>
      <c r="M66" s="85"/>
      <c r="N66" s="85"/>
      <c r="O66"/>
      <c r="P66"/>
      <c r="Q66"/>
      <c r="R66"/>
      <c r="S66"/>
    </row>
    <row r="67" spans="1:19" x14ac:dyDescent="0.3">
      <c r="A67" s="1"/>
      <c r="B67" s="1"/>
      <c r="H67" s="22"/>
      <c r="I67" s="85" t="s">
        <v>59</v>
      </c>
      <c r="J67" s="85">
        <v>10.1</v>
      </c>
      <c r="K67" s="85">
        <v>16.91</v>
      </c>
      <c r="L67" s="85">
        <f t="shared" si="16"/>
        <v>170.791</v>
      </c>
      <c r="M67" s="85"/>
      <c r="N67" s="85"/>
      <c r="O67"/>
      <c r="P67"/>
      <c r="Q67"/>
      <c r="R67"/>
      <c r="S67"/>
    </row>
    <row r="68" spans="1:19" x14ac:dyDescent="0.3">
      <c r="A68" s="1"/>
      <c r="B68" s="1"/>
      <c r="H68" s="22"/>
      <c r="I68" s="85"/>
      <c r="J68" s="85"/>
      <c r="K68" s="85"/>
      <c r="L68" s="89">
        <f>SUM(L65:L67)</f>
        <v>13757.917599999999</v>
      </c>
      <c r="M68" s="89"/>
      <c r="N68" s="85"/>
      <c r="O68"/>
      <c r="P68"/>
      <c r="Q68"/>
      <c r="R68"/>
      <c r="S68"/>
    </row>
    <row r="69" spans="1:19" x14ac:dyDescent="0.3">
      <c r="A69" s="1"/>
      <c r="B69" s="1"/>
      <c r="H69" s="22"/>
      <c r="I69" s="85"/>
      <c r="J69" s="85"/>
      <c r="K69" s="85"/>
      <c r="L69" s="89">
        <f>L68+L62+L54</f>
        <v>27655.838300000003</v>
      </c>
      <c r="M69" s="85"/>
      <c r="N69" s="85"/>
      <c r="O69"/>
      <c r="P69"/>
      <c r="Q69"/>
      <c r="R69"/>
      <c r="S69"/>
    </row>
    <row r="70" spans="1:19" x14ac:dyDescent="0.3">
      <c r="A70" s="1"/>
      <c r="B70" s="1"/>
      <c r="F70" s="40"/>
      <c r="H70" s="22"/>
      <c r="I70" s="22"/>
      <c r="J70" s="22"/>
      <c r="K70" s="22"/>
      <c r="L70" s="22"/>
      <c r="M70" s="22"/>
      <c r="N70" s="22"/>
    </row>
    <row r="71" spans="1:19" x14ac:dyDescent="0.3">
      <c r="A71" s="1"/>
      <c r="B71" s="1"/>
      <c r="F71" s="40"/>
      <c r="H71" s="22"/>
      <c r="I71" s="85" t="s">
        <v>69</v>
      </c>
      <c r="J71" s="85">
        <v>94.15</v>
      </c>
      <c r="K71" s="85">
        <v>12.31</v>
      </c>
      <c r="L71" s="85">
        <f>K71*J71</f>
        <v>1158.9865000000002</v>
      </c>
      <c r="M71" s="22"/>
      <c r="N71" s="22"/>
    </row>
    <row r="72" spans="1:19" x14ac:dyDescent="0.3">
      <c r="A72" s="1"/>
      <c r="B72" s="1"/>
      <c r="F72" s="40"/>
      <c r="H72" s="22"/>
      <c r="I72" s="22"/>
      <c r="J72" s="22"/>
      <c r="K72" s="22"/>
      <c r="L72" s="22"/>
      <c r="M72" s="22"/>
      <c r="N72" s="22"/>
    </row>
    <row r="73" spans="1:19" x14ac:dyDescent="0.3">
      <c r="A73" s="1"/>
      <c r="B73" s="1"/>
      <c r="F73" s="40"/>
      <c r="H73" s="22"/>
      <c r="I73" s="22"/>
      <c r="J73" s="22"/>
      <c r="K73" s="22"/>
      <c r="L73" s="22"/>
      <c r="M73" s="22"/>
      <c r="N73" s="22"/>
    </row>
    <row r="74" spans="1:19" x14ac:dyDescent="0.3">
      <c r="A74" s="1"/>
      <c r="B74" s="1"/>
      <c r="F74" s="40"/>
      <c r="H74" s="22"/>
      <c r="I74" s="22"/>
      <c r="J74" s="22"/>
      <c r="K74" s="22"/>
      <c r="L74" s="22"/>
      <c r="M74" s="22"/>
      <c r="N74" s="22"/>
    </row>
    <row r="75" spans="1:19" x14ac:dyDescent="0.3">
      <c r="A75" s="1"/>
      <c r="B75" s="1"/>
      <c r="F75" s="40"/>
      <c r="H75" s="22"/>
      <c r="I75" s="22"/>
      <c r="J75" s="22"/>
      <c r="K75" s="22"/>
      <c r="L75" s="22"/>
      <c r="M75" s="22"/>
      <c r="N75" s="22"/>
    </row>
    <row r="76" spans="1:19" x14ac:dyDescent="0.3">
      <c r="A76" s="1"/>
      <c r="B76" s="1"/>
      <c r="F76" s="40"/>
      <c r="H76" s="22"/>
      <c r="I76" s="22"/>
      <c r="J76" s="22"/>
      <c r="K76" s="22"/>
      <c r="L76" s="22"/>
      <c r="M76" s="22"/>
      <c r="N76" s="22"/>
    </row>
    <row r="77" spans="1:19" x14ac:dyDescent="0.3">
      <c r="A77" s="1"/>
      <c r="B77" s="1"/>
      <c r="F77" s="40"/>
      <c r="H77" s="22"/>
      <c r="I77" s="22"/>
      <c r="J77" s="22"/>
      <c r="K77" s="22"/>
      <c r="L77" s="22"/>
      <c r="M77" s="22"/>
      <c r="N77" s="22"/>
    </row>
    <row r="78" spans="1:19" x14ac:dyDescent="0.3">
      <c r="A78" s="1"/>
      <c r="B78" s="1"/>
      <c r="F78" s="40"/>
      <c r="H78" s="22"/>
      <c r="I78" s="22"/>
      <c r="J78" s="22"/>
      <c r="K78" s="22"/>
      <c r="L78" s="22"/>
      <c r="M78" s="22"/>
      <c r="N78" s="22"/>
    </row>
    <row r="79" spans="1:19" x14ac:dyDescent="0.3">
      <c r="A79" s="1"/>
      <c r="B79" s="1"/>
      <c r="F79" s="40"/>
      <c r="H79" s="22"/>
      <c r="I79" s="22"/>
      <c r="J79" s="22"/>
      <c r="K79" s="22"/>
      <c r="L79" s="22"/>
      <c r="M79" s="22"/>
      <c r="N79" s="22"/>
    </row>
    <row r="80" spans="1:19" x14ac:dyDescent="0.3">
      <c r="A80" s="1"/>
      <c r="B80" s="1"/>
      <c r="H80" s="22"/>
      <c r="I80" s="22" t="s">
        <v>86</v>
      </c>
      <c r="J80" s="22"/>
      <c r="K80" s="22"/>
      <c r="L80" s="22"/>
      <c r="M80" s="22"/>
      <c r="N80" s="22"/>
    </row>
    <row r="81" spans="1:19" x14ac:dyDescent="0.3">
      <c r="A81" s="1"/>
      <c r="B81" s="1"/>
      <c r="H81" s="22"/>
      <c r="I81" s="22" t="s">
        <v>87</v>
      </c>
      <c r="J81" s="22">
        <v>15789</v>
      </c>
      <c r="K81" s="22"/>
      <c r="L81" s="22"/>
      <c r="M81" s="22"/>
      <c r="N81" s="22"/>
    </row>
    <row r="82" spans="1:19" x14ac:dyDescent="0.3">
      <c r="A82" s="1"/>
      <c r="B82" s="1"/>
      <c r="H82" s="22"/>
      <c r="I82" s="22" t="s">
        <v>88</v>
      </c>
      <c r="J82" s="22">
        <v>1600</v>
      </c>
      <c r="K82" s="22"/>
      <c r="L82" s="22"/>
      <c r="M82" s="22"/>
      <c r="N82" s="22"/>
    </row>
    <row r="83" spans="1:19" s="7" customFormat="1" x14ac:dyDescent="0.3">
      <c r="A83" s="1"/>
      <c r="B83" s="1"/>
      <c r="C83" s="1"/>
      <c r="D83" s="1"/>
      <c r="E83" s="1"/>
      <c r="H83" s="22"/>
      <c r="I83" s="22"/>
      <c r="J83" s="22">
        <f>SUM(J81:J82)</f>
        <v>17389</v>
      </c>
      <c r="K83" s="22" t="s">
        <v>89</v>
      </c>
      <c r="L83" s="22"/>
      <c r="M83" s="22"/>
      <c r="N83" s="22"/>
      <c r="P83" s="1"/>
      <c r="Q83" s="1"/>
      <c r="R83" s="1"/>
      <c r="S83" s="1"/>
    </row>
    <row r="84" spans="1:19" s="7" customFormat="1" x14ac:dyDescent="0.3">
      <c r="A84" s="1"/>
      <c r="B84" s="1"/>
      <c r="C84" s="1"/>
      <c r="D84" s="1"/>
      <c r="E84" s="1"/>
      <c r="H84" s="22"/>
      <c r="I84" s="22"/>
      <c r="J84" s="22"/>
      <c r="K84" s="22"/>
      <c r="L84" s="22"/>
      <c r="M84" s="22"/>
      <c r="N84" s="22"/>
      <c r="P84" s="1"/>
      <c r="Q84" s="1"/>
      <c r="R84" s="1"/>
      <c r="S84" s="1"/>
    </row>
    <row r="85" spans="1:19" s="7" customFormat="1" x14ac:dyDescent="0.3">
      <c r="A85" s="1"/>
      <c r="B85" s="1"/>
      <c r="C85" s="1"/>
      <c r="D85" s="1"/>
      <c r="E85" s="1"/>
      <c r="H85" s="22"/>
      <c r="I85" s="22"/>
      <c r="J85" s="22"/>
      <c r="K85" s="22"/>
      <c r="L85" s="22"/>
      <c r="M85" s="22"/>
      <c r="N85" s="22"/>
      <c r="P85" s="1"/>
      <c r="Q85" s="1"/>
      <c r="R85" s="1"/>
      <c r="S85" s="1"/>
    </row>
    <row r="86" spans="1:19" s="7" customFormat="1" x14ac:dyDescent="0.3">
      <c r="A86" s="1"/>
      <c r="B86" s="1"/>
      <c r="C86" s="1"/>
      <c r="D86" s="1"/>
      <c r="E86" s="1"/>
      <c r="H86" s="22"/>
      <c r="I86" s="22"/>
      <c r="J86" s="22"/>
      <c r="K86" s="22"/>
      <c r="L86" s="22"/>
      <c r="M86" s="22"/>
      <c r="N86" s="22"/>
      <c r="P86" s="1"/>
      <c r="Q86" s="1"/>
      <c r="R86" s="1"/>
      <c r="S86" s="1"/>
    </row>
    <row r="87" spans="1:19" s="7" customFormat="1" x14ac:dyDescent="0.3">
      <c r="A87" s="1"/>
      <c r="B87" s="1"/>
      <c r="C87" s="1"/>
      <c r="D87" s="1"/>
      <c r="E87" s="1"/>
      <c r="H87" s="22"/>
      <c r="I87" s="22"/>
      <c r="J87" s="22"/>
      <c r="K87" s="22"/>
      <c r="L87" s="22"/>
      <c r="M87" s="22"/>
      <c r="N87" s="22"/>
      <c r="P87" s="1"/>
      <c r="Q87" s="1"/>
      <c r="R87" s="1"/>
      <c r="S87" s="1"/>
    </row>
    <row r="88" spans="1:19" s="7" customFormat="1" x14ac:dyDescent="0.3">
      <c r="A88" s="1"/>
      <c r="B88" s="1"/>
      <c r="C88" s="1"/>
      <c r="D88" s="1"/>
      <c r="E88" s="1"/>
      <c r="H88" s="22"/>
      <c r="I88" s="22"/>
      <c r="J88" s="22"/>
      <c r="K88" s="22"/>
      <c r="L88" s="22"/>
      <c r="M88" s="22"/>
      <c r="N88" s="22"/>
      <c r="P88" s="1"/>
      <c r="Q88" s="1"/>
      <c r="R88" s="1"/>
      <c r="S88" s="1"/>
    </row>
    <row r="89" spans="1:19" s="7" customFormat="1" x14ac:dyDescent="0.3">
      <c r="A89" s="1"/>
      <c r="B89" s="1"/>
      <c r="C89" s="1"/>
      <c r="D89" s="1"/>
      <c r="E89" s="1"/>
      <c r="H89" s="22"/>
      <c r="I89" s="22"/>
      <c r="J89" s="22"/>
      <c r="K89" s="22"/>
      <c r="L89" s="22"/>
      <c r="M89" s="22"/>
      <c r="N89" s="22"/>
      <c r="P89" s="1"/>
      <c r="Q89" s="1"/>
      <c r="R89" s="1"/>
      <c r="S89" s="1"/>
    </row>
    <row r="90" spans="1:19" s="7" customFormat="1" x14ac:dyDescent="0.3">
      <c r="A90" s="1"/>
      <c r="B90" s="1"/>
      <c r="C90" s="1"/>
      <c r="D90" s="1"/>
      <c r="E90" s="1"/>
      <c r="H90" s="22"/>
      <c r="I90" s="22"/>
      <c r="J90" s="22"/>
      <c r="K90" s="22"/>
      <c r="L90" s="22"/>
      <c r="M90" s="22"/>
      <c r="N90" s="22"/>
      <c r="P90" s="1"/>
      <c r="Q90" s="1"/>
      <c r="R90" s="1"/>
      <c r="S90" s="1"/>
    </row>
    <row r="91" spans="1:19" s="7" customFormat="1" x14ac:dyDescent="0.3">
      <c r="A91" s="1"/>
      <c r="B91" s="1"/>
      <c r="C91" s="1"/>
      <c r="D91" s="1"/>
      <c r="E91" s="1"/>
      <c r="H91" s="22"/>
      <c r="I91" s="22"/>
      <c r="J91" s="22"/>
      <c r="K91" s="22"/>
      <c r="L91" s="22"/>
      <c r="M91" s="22"/>
      <c r="N91" s="22"/>
      <c r="P91" s="1"/>
      <c r="Q91" s="1"/>
      <c r="R91" s="1"/>
      <c r="S91" s="1"/>
    </row>
    <row r="92" spans="1:19" s="7" customFormat="1" x14ac:dyDescent="0.3">
      <c r="A92" s="1"/>
      <c r="B92" s="1"/>
      <c r="C92" s="1"/>
      <c r="D92" s="1"/>
      <c r="E92" s="1"/>
      <c r="H92" s="22"/>
      <c r="I92" s="22"/>
      <c r="J92" s="22"/>
      <c r="K92" s="22"/>
      <c r="L92" s="22"/>
      <c r="M92" s="22"/>
      <c r="N92" s="22"/>
      <c r="P92" s="1"/>
      <c r="Q92" s="1"/>
      <c r="R92" s="1"/>
      <c r="S92" s="1"/>
    </row>
    <row r="93" spans="1:19" s="7" customFormat="1" x14ac:dyDescent="0.3">
      <c r="A93" s="1"/>
      <c r="B93" s="1"/>
      <c r="C93" s="1"/>
      <c r="D93" s="1"/>
      <c r="E93" s="1"/>
      <c r="H93" s="22"/>
      <c r="I93" s="22"/>
      <c r="J93" s="22"/>
      <c r="K93" s="22"/>
      <c r="L93" s="22"/>
      <c r="M93" s="22"/>
      <c r="N93" s="22"/>
      <c r="P93" s="1"/>
      <c r="Q93" s="1"/>
      <c r="R93" s="1"/>
      <c r="S93" s="1"/>
    </row>
    <row r="94" spans="1:19" s="7" customFormat="1" x14ac:dyDescent="0.3">
      <c r="A94" s="1"/>
      <c r="B94" s="1"/>
      <c r="C94" s="1"/>
      <c r="D94" s="1"/>
      <c r="E94" s="1"/>
      <c r="H94" s="22"/>
      <c r="I94" s="22"/>
      <c r="J94" s="22">
        <v>31</v>
      </c>
      <c r="K94" s="22">
        <v>6</v>
      </c>
      <c r="L94" s="22">
        <v>20</v>
      </c>
      <c r="M94" s="22">
        <v>0</v>
      </c>
      <c r="N94" s="22"/>
      <c r="P94" s="1"/>
      <c r="Q94" s="1"/>
      <c r="R94" s="1"/>
      <c r="S94" s="1"/>
    </row>
    <row r="95" spans="1:19" s="7" customFormat="1" x14ac:dyDescent="0.3">
      <c r="A95" s="1"/>
      <c r="B95" s="1"/>
      <c r="C95" s="1"/>
      <c r="D95" s="1"/>
      <c r="E95" s="1"/>
      <c r="H95" s="22"/>
      <c r="I95" s="22"/>
      <c r="J95" s="22"/>
      <c r="K95" s="22"/>
      <c r="L95" s="22"/>
      <c r="M95" s="22"/>
      <c r="N95" s="22"/>
      <c r="P95" s="1"/>
      <c r="Q95" s="1"/>
      <c r="R95" s="1"/>
      <c r="S95" s="1"/>
    </row>
    <row r="96" spans="1:19" s="7" customFormat="1" x14ac:dyDescent="0.3">
      <c r="A96" s="1"/>
      <c r="B96" s="1"/>
      <c r="C96" s="1"/>
      <c r="D96" s="1"/>
      <c r="E96" s="1"/>
      <c r="J96" s="1"/>
      <c r="L96" s="1"/>
      <c r="P96" s="1"/>
      <c r="Q96" s="1"/>
      <c r="R96" s="1"/>
      <c r="S96" s="1"/>
    </row>
    <row r="97" spans="1:19" s="7" customFormat="1" x14ac:dyDescent="0.3">
      <c r="A97" s="1"/>
      <c r="B97" s="1"/>
      <c r="C97" s="1"/>
      <c r="D97" s="1"/>
      <c r="E97" s="1"/>
      <c r="J97" s="1"/>
      <c r="L97" s="1"/>
      <c r="P97" s="1"/>
      <c r="Q97" s="1"/>
      <c r="R97" s="1"/>
      <c r="S97" s="1"/>
    </row>
    <row r="98" spans="1:19" s="7" customFormat="1" x14ac:dyDescent="0.3">
      <c r="A98" s="1"/>
      <c r="B98" s="1"/>
      <c r="C98" s="1"/>
      <c r="D98" s="1"/>
      <c r="E98" s="1"/>
      <c r="J98" s="1"/>
      <c r="L98" s="1"/>
      <c r="P98" s="1"/>
      <c r="Q98" s="1"/>
      <c r="R98" s="1"/>
      <c r="S98" s="1"/>
    </row>
    <row r="99" spans="1:19" x14ac:dyDescent="0.3">
      <c r="A99" s="1"/>
      <c r="B99" s="1"/>
    </row>
    <row r="100" spans="1:19" x14ac:dyDescent="0.3">
      <c r="A100" s="1"/>
      <c r="B100" s="1"/>
      <c r="I100" s="7" t="s">
        <v>92</v>
      </c>
    </row>
    <row r="101" spans="1:19" x14ac:dyDescent="0.3">
      <c r="A101" s="1"/>
      <c r="B101" s="1"/>
      <c r="I101" s="7">
        <v>1467.38</v>
      </c>
      <c r="J101" s="1" t="s">
        <v>91</v>
      </c>
    </row>
    <row r="102" spans="1:19" x14ac:dyDescent="0.3">
      <c r="A102" s="1"/>
      <c r="B102" s="1"/>
      <c r="I102" s="7">
        <f>MROUND(I101*10.764,1)</f>
        <v>15795</v>
      </c>
      <c r="J102" s="1" t="s">
        <v>40</v>
      </c>
    </row>
    <row r="103" spans="1:19" x14ac:dyDescent="0.3">
      <c r="A103" s="1"/>
      <c r="B103" s="1"/>
    </row>
    <row r="104" spans="1:19" x14ac:dyDescent="0.3">
      <c r="A104" s="1"/>
      <c r="B104" s="1"/>
    </row>
    <row r="105" spans="1:19" x14ac:dyDescent="0.3">
      <c r="A105" s="1"/>
      <c r="B105" s="1"/>
      <c r="I105" s="7">
        <v>123</v>
      </c>
      <c r="J105" s="1">
        <v>78</v>
      </c>
      <c r="K105" s="7">
        <f>I105*J105</f>
        <v>9594</v>
      </c>
    </row>
    <row r="106" spans="1:19" x14ac:dyDescent="0.3">
      <c r="A106" s="1"/>
      <c r="B106" s="1"/>
    </row>
    <row r="107" spans="1:19" x14ac:dyDescent="0.3">
      <c r="A107" s="1"/>
      <c r="B107" s="1"/>
    </row>
    <row r="108" spans="1:19" x14ac:dyDescent="0.3">
      <c r="A108" s="1"/>
      <c r="B108" s="1"/>
      <c r="I108" s="7">
        <v>138.5</v>
      </c>
      <c r="J108" s="1">
        <v>95</v>
      </c>
      <c r="K108" s="7">
        <f>I108*J108</f>
        <v>13157.5</v>
      </c>
    </row>
    <row r="109" spans="1:19" x14ac:dyDescent="0.3">
      <c r="A109" s="1"/>
      <c r="B109" s="1"/>
    </row>
    <row r="110" spans="1:19" x14ac:dyDescent="0.3">
      <c r="A110" s="1"/>
      <c r="B110" s="1"/>
    </row>
    <row r="111" spans="1:19" x14ac:dyDescent="0.3">
      <c r="A111" s="1"/>
      <c r="B111" s="1"/>
    </row>
    <row r="112" spans="1:19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</sheetData>
  <mergeCells count="3">
    <mergeCell ref="B15:C15"/>
    <mergeCell ref="B20:C20"/>
    <mergeCell ref="J63:K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E33" sqref="E33"/>
    </sheetView>
  </sheetViews>
  <sheetFormatPr defaultRowHeight="16.5" x14ac:dyDescent="0.3"/>
  <cols>
    <col min="1" max="1" width="9.140625" style="41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26.28515625" style="7" bestFit="1" customWidth="1"/>
    <col min="10" max="10" width="21.7109375" style="1" bestFit="1" customWidth="1"/>
    <col min="11" max="11" width="15.42578125" style="7" bestFit="1" customWidth="1"/>
    <col min="12" max="12" width="21.5703125" style="1" bestFit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5">
        <v>15789</v>
      </c>
      <c r="D2" s="7" t="s">
        <v>40</v>
      </c>
      <c r="E2" s="4"/>
      <c r="F2" s="4"/>
      <c r="G2" s="25"/>
      <c r="H2" s="1" t="s">
        <v>39</v>
      </c>
      <c r="I2" s="65">
        <v>2500</v>
      </c>
      <c r="J2" s="65">
        <f>C2</f>
        <v>15789</v>
      </c>
      <c r="K2" s="65">
        <f>I3</f>
        <v>232</v>
      </c>
      <c r="L2" s="19">
        <f>J2*K2</f>
        <v>3663048</v>
      </c>
      <c r="O2" s="62" t="s">
        <v>35</v>
      </c>
      <c r="P2" s="63">
        <f>C28</f>
        <v>67840044</v>
      </c>
      <c r="R2" s="20">
        <f>P2*0.025/12</f>
        <v>141333.42500000002</v>
      </c>
      <c r="S2" s="18" t="s">
        <v>34</v>
      </c>
    </row>
    <row r="3" spans="1:19" x14ac:dyDescent="0.3">
      <c r="B3" s="24" t="s">
        <v>6</v>
      </c>
      <c r="C3" s="18">
        <v>1000</v>
      </c>
      <c r="D3" s="15"/>
      <c r="E3" s="26"/>
      <c r="F3" s="26"/>
      <c r="G3" s="15"/>
      <c r="H3" s="1" t="s">
        <v>40</v>
      </c>
      <c r="I3" s="65">
        <f>MROUND(I2/10.764,1)</f>
        <v>232</v>
      </c>
      <c r="J3" s="65"/>
      <c r="K3" s="54"/>
      <c r="L3" s="19">
        <f>N11</f>
        <v>52051044</v>
      </c>
      <c r="O3" s="62" t="s">
        <v>35</v>
      </c>
      <c r="P3" s="63">
        <f>C28</f>
        <v>67840044</v>
      </c>
      <c r="Q3" s="7"/>
      <c r="R3" s="20">
        <f>P3*0.04/12</f>
        <v>226133.48</v>
      </c>
      <c r="S3" s="64" t="s">
        <v>36</v>
      </c>
    </row>
    <row r="4" spans="1:19" x14ac:dyDescent="0.3">
      <c r="B4" s="32" t="s">
        <v>18</v>
      </c>
      <c r="C4" s="54">
        <f>ROUND((C2*C3),0)</f>
        <v>15789000</v>
      </c>
      <c r="F4" s="22"/>
      <c r="G4" s="22"/>
      <c r="I4" s="54"/>
      <c r="J4" s="65"/>
      <c r="K4" s="54"/>
      <c r="L4" s="19">
        <f>SUM(L2:L3)</f>
        <v>55714092</v>
      </c>
      <c r="O4" s="62" t="s">
        <v>35</v>
      </c>
      <c r="P4" s="63">
        <f>C28</f>
        <v>67840044</v>
      </c>
      <c r="Q4" s="7"/>
      <c r="R4" s="20">
        <f>P4*0.033/12</f>
        <v>186560.12100000001</v>
      </c>
      <c r="S4" s="18" t="s">
        <v>37</v>
      </c>
    </row>
    <row r="5" spans="1:19" x14ac:dyDescent="0.3">
      <c r="B5" s="13" t="s">
        <v>14</v>
      </c>
    </row>
    <row r="6" spans="1:19" s="3" customFormat="1" ht="38.25" x14ac:dyDescent="0.2">
      <c r="A6" s="42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3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4" t="s">
        <v>26</v>
      </c>
      <c r="N6" s="5" t="s">
        <v>17</v>
      </c>
      <c r="O6" s="5" t="s">
        <v>101</v>
      </c>
    </row>
    <row r="7" spans="1:19" s="3" customFormat="1" ht="15.75" thickBot="1" x14ac:dyDescent="0.25">
      <c r="A7" s="42"/>
      <c r="B7" s="4"/>
      <c r="C7" s="5" t="s">
        <v>43</v>
      </c>
      <c r="D7" s="4"/>
      <c r="E7" s="4"/>
      <c r="F7" s="4"/>
      <c r="G7" s="43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ht="17.25" thickBot="1" x14ac:dyDescent="0.3">
      <c r="A8" s="50">
        <v>1</v>
      </c>
      <c r="B8" s="76" t="s">
        <v>90</v>
      </c>
      <c r="C8" s="97">
        <v>13715</v>
      </c>
      <c r="D8" s="51">
        <v>2009</v>
      </c>
      <c r="E8" s="51">
        <v>2024</v>
      </c>
      <c r="F8" s="51">
        <v>50</v>
      </c>
      <c r="G8" s="55">
        <v>1800</v>
      </c>
      <c r="H8" s="56">
        <f t="shared" ref="H8" si="0">E8-D8</f>
        <v>15</v>
      </c>
      <c r="I8" s="56">
        <f t="shared" ref="I8" si="1">F8-H8</f>
        <v>35</v>
      </c>
      <c r="J8" s="56">
        <f t="shared" ref="J8" si="2">IF(H8&gt;=5,90*H8/F8,0)</f>
        <v>27</v>
      </c>
      <c r="K8" s="56">
        <f t="shared" ref="K8" si="3">G8/100*J8</f>
        <v>486</v>
      </c>
      <c r="L8" s="56">
        <f t="shared" ref="L8" si="4">ROUND((G8-K8),0)</f>
        <v>1314</v>
      </c>
      <c r="M8" s="56">
        <f t="shared" ref="M8" si="5">O8-N8</f>
        <v>6665490</v>
      </c>
      <c r="N8" s="56">
        <f t="shared" ref="N8" si="6">ROUND((L8*C8),0)</f>
        <v>18021510</v>
      </c>
      <c r="O8" s="56">
        <f t="shared" ref="O8" si="7">ROUND((C8*G8),0)</f>
        <v>24687000</v>
      </c>
      <c r="P8" s="99"/>
    </row>
    <row r="9" spans="1:19" s="11" customFormat="1" ht="17.25" thickBot="1" x14ac:dyDescent="0.3">
      <c r="A9" s="52">
        <v>2</v>
      </c>
      <c r="B9" s="77" t="s">
        <v>47</v>
      </c>
      <c r="C9" s="98">
        <v>14126</v>
      </c>
      <c r="D9" s="51">
        <v>2009</v>
      </c>
      <c r="E9" s="51">
        <v>2024</v>
      </c>
      <c r="F9" s="51">
        <v>50</v>
      </c>
      <c r="G9" s="55">
        <v>1800</v>
      </c>
      <c r="H9" s="56">
        <f t="shared" ref="H9:H10" si="8">E9-D9</f>
        <v>15</v>
      </c>
      <c r="I9" s="56">
        <f t="shared" ref="I9:I10" si="9">F9-H9</f>
        <v>35</v>
      </c>
      <c r="J9" s="56">
        <f t="shared" ref="J9:J10" si="10">IF(H9&gt;=5,90*H9/F9,0)</f>
        <v>27</v>
      </c>
      <c r="K9" s="56">
        <f t="shared" ref="K9:K10" si="11">G9/100*J9</f>
        <v>486</v>
      </c>
      <c r="L9" s="56">
        <f t="shared" ref="L9:L10" si="12">ROUND((G9-K9),0)</f>
        <v>1314</v>
      </c>
      <c r="M9" s="56">
        <f t="shared" ref="M9:M10" si="13">O9-N9</f>
        <v>6865236</v>
      </c>
      <c r="N9" s="56">
        <f t="shared" ref="N9:N10" si="14">ROUND((L9*C9),0)</f>
        <v>18561564</v>
      </c>
      <c r="O9" s="56">
        <f t="shared" ref="O9:O10" si="15">ROUND((C9*G9),0)</f>
        <v>25426800</v>
      </c>
    </row>
    <row r="10" spans="1:19" s="11" customFormat="1" ht="17.25" customHeight="1" thickBot="1" x14ac:dyDescent="0.3">
      <c r="A10" s="50">
        <v>3</v>
      </c>
      <c r="B10" s="77" t="s">
        <v>48</v>
      </c>
      <c r="C10" s="98">
        <v>14126</v>
      </c>
      <c r="D10" s="51">
        <v>2009</v>
      </c>
      <c r="E10" s="51">
        <v>2024</v>
      </c>
      <c r="F10" s="51">
        <v>50</v>
      </c>
      <c r="G10" s="55">
        <v>1500</v>
      </c>
      <c r="H10" s="56">
        <f t="shared" si="8"/>
        <v>15</v>
      </c>
      <c r="I10" s="56">
        <f t="shared" si="9"/>
        <v>35</v>
      </c>
      <c r="J10" s="56">
        <f t="shared" si="10"/>
        <v>27</v>
      </c>
      <c r="K10" s="56">
        <f t="shared" si="11"/>
        <v>405</v>
      </c>
      <c r="L10" s="56">
        <f t="shared" si="12"/>
        <v>1095</v>
      </c>
      <c r="M10" s="56">
        <f t="shared" si="13"/>
        <v>5721030</v>
      </c>
      <c r="N10" s="56">
        <f t="shared" si="14"/>
        <v>15467970</v>
      </c>
      <c r="O10" s="56">
        <f t="shared" si="15"/>
        <v>21189000</v>
      </c>
    </row>
    <row r="11" spans="1:19" x14ac:dyDescent="0.3">
      <c r="A11" s="24"/>
      <c r="B11" s="102" t="s">
        <v>98</v>
      </c>
      <c r="C11" s="103">
        <f>SUM(C8:C10)</f>
        <v>41967</v>
      </c>
      <c r="D11" s="49"/>
      <c r="E11" s="49"/>
      <c r="F11" s="6"/>
      <c r="G11" s="56"/>
      <c r="H11" s="56"/>
      <c r="I11" s="56"/>
      <c r="J11" s="59"/>
      <c r="K11" s="56"/>
      <c r="L11" s="59"/>
      <c r="M11" s="104">
        <f>SUM(M8:M10)</f>
        <v>19251756</v>
      </c>
      <c r="N11" s="104">
        <f>SUM(N8:N10)</f>
        <v>52051044</v>
      </c>
      <c r="O11" s="104">
        <f>SUM(O8:O10)</f>
        <v>71302800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106" t="s">
        <v>20</v>
      </c>
      <c r="C13" s="106"/>
      <c r="D13" s="11"/>
      <c r="E13" s="11"/>
      <c r="F13" s="12"/>
      <c r="G13" s="12"/>
      <c r="H13" s="78"/>
      <c r="I13" s="78"/>
      <c r="J13" s="78"/>
      <c r="K13" s="27"/>
      <c r="L13" s="27"/>
      <c r="M13" s="78"/>
      <c r="N13" s="27"/>
      <c r="O13" s="27"/>
    </row>
    <row r="14" spans="1:19" x14ac:dyDescent="0.3">
      <c r="B14" s="23" t="s">
        <v>19</v>
      </c>
      <c r="C14" s="60">
        <v>0</v>
      </c>
      <c r="D14" s="11"/>
      <c r="E14" s="11"/>
      <c r="F14" s="12"/>
      <c r="G14" s="12"/>
      <c r="H14" s="78"/>
      <c r="I14" s="78"/>
      <c r="J14" s="78"/>
      <c r="K14" s="27"/>
      <c r="L14" s="27"/>
      <c r="M14" s="78"/>
      <c r="N14" s="27"/>
      <c r="O14" s="27"/>
    </row>
    <row r="15" spans="1:19" x14ac:dyDescent="0.3">
      <c r="B15" s="24" t="s">
        <v>6</v>
      </c>
      <c r="C15" s="53">
        <v>0</v>
      </c>
      <c r="D15" s="11"/>
      <c r="E15" s="11"/>
      <c r="F15" s="12"/>
      <c r="G15" s="12"/>
      <c r="H15" s="78"/>
      <c r="I15" s="78" t="s">
        <v>94</v>
      </c>
      <c r="J15" s="78"/>
      <c r="K15" s="27"/>
      <c r="L15" s="22"/>
      <c r="M15" s="78"/>
      <c r="N15" s="27"/>
      <c r="O15" s="27"/>
    </row>
    <row r="16" spans="1:19" x14ac:dyDescent="0.3">
      <c r="B16" s="24" t="s">
        <v>7</v>
      </c>
      <c r="C16" s="58">
        <f>ROUND((C14*C15),0)</f>
        <v>0</v>
      </c>
      <c r="D16" s="11"/>
      <c r="E16" s="11"/>
      <c r="F16" s="12"/>
      <c r="G16" s="12">
        <f>800000/100</f>
        <v>8000</v>
      </c>
      <c r="H16" s="78"/>
      <c r="I16" s="78" t="s">
        <v>46</v>
      </c>
      <c r="J16" s="78">
        <v>95</v>
      </c>
      <c r="K16" s="27">
        <v>138.5</v>
      </c>
      <c r="L16" s="27">
        <f>J16*K16</f>
        <v>13157.5</v>
      </c>
      <c r="M16" s="79" t="s">
        <v>95</v>
      </c>
      <c r="N16" s="27"/>
      <c r="O16" s="27"/>
    </row>
    <row r="17" spans="1:16" x14ac:dyDescent="0.3">
      <c r="B17" s="10"/>
      <c r="C17" s="11"/>
      <c r="D17" s="11"/>
      <c r="E17" s="11"/>
      <c r="F17" s="12"/>
      <c r="G17" s="12">
        <f>G16/10.764</f>
        <v>743.21813452248239</v>
      </c>
      <c r="H17" s="78"/>
      <c r="I17" s="22" t="s">
        <v>99</v>
      </c>
      <c r="J17" s="22">
        <v>1.5</v>
      </c>
      <c r="K17" s="22">
        <v>1.5</v>
      </c>
      <c r="N17" s="27"/>
      <c r="O17" s="27"/>
    </row>
    <row r="18" spans="1:16" ht="22.5" customHeight="1" x14ac:dyDescent="0.3">
      <c r="B18" s="107" t="s">
        <v>15</v>
      </c>
      <c r="C18" s="108"/>
      <c r="D18" s="11"/>
      <c r="E18" s="11"/>
      <c r="F18" s="12"/>
      <c r="G18" s="12"/>
      <c r="H18" s="78"/>
      <c r="I18" s="81" t="s">
        <v>100</v>
      </c>
      <c r="J18" s="1">
        <f>SUM(J16:J17)</f>
        <v>96.5</v>
      </c>
      <c r="K18" s="75">
        <f>SUM(K16:K17)</f>
        <v>140</v>
      </c>
      <c r="L18" s="31">
        <f>J18*K18</f>
        <v>13510</v>
      </c>
      <c r="N18" s="78"/>
      <c r="O18" s="12"/>
    </row>
    <row r="19" spans="1:16" x14ac:dyDescent="0.3">
      <c r="B19" s="23" t="s">
        <v>11</v>
      </c>
      <c r="C19" s="60">
        <f>C2-C8</f>
        <v>2074</v>
      </c>
      <c r="E19" s="28"/>
      <c r="F19" s="28"/>
      <c r="G19" s="29">
        <v>10000</v>
      </c>
      <c r="H19" s="80"/>
      <c r="N19" s="22"/>
    </row>
    <row r="20" spans="1:16" x14ac:dyDescent="0.3">
      <c r="B20" s="24" t="s">
        <v>6</v>
      </c>
      <c r="C20" s="53">
        <v>0</v>
      </c>
      <c r="D20" s="30"/>
      <c r="E20" s="22"/>
      <c r="F20" s="22"/>
      <c r="G20" s="16">
        <f>G19/10.764</f>
        <v>929.02266815310304</v>
      </c>
      <c r="H20" s="80"/>
      <c r="I20" s="81" t="s">
        <v>102</v>
      </c>
    </row>
    <row r="21" spans="1:16" x14ac:dyDescent="0.3">
      <c r="B21" s="24" t="s">
        <v>7</v>
      </c>
      <c r="C21" s="58">
        <f>ROUND((C19*C20),0)</f>
        <v>0</v>
      </c>
      <c r="D21" s="9"/>
      <c r="E21" s="9"/>
      <c r="F21" s="21"/>
      <c r="H21" s="80"/>
      <c r="I21" s="78" t="s">
        <v>46</v>
      </c>
      <c r="J21" s="78">
        <v>96.5</v>
      </c>
      <c r="K21" s="27">
        <v>140</v>
      </c>
      <c r="L21" s="27">
        <f>J21*K21</f>
        <v>13510</v>
      </c>
      <c r="M21" s="92" t="s">
        <v>19</v>
      </c>
      <c r="N21" s="22"/>
    </row>
    <row r="22" spans="1:16" x14ac:dyDescent="0.3">
      <c r="B22" s="41"/>
      <c r="C22" s="19"/>
      <c r="D22" s="9"/>
      <c r="E22" s="9"/>
      <c r="F22" s="21"/>
      <c r="H22" s="80"/>
      <c r="I22" s="22" t="s">
        <v>97</v>
      </c>
      <c r="J22" s="22">
        <v>19</v>
      </c>
      <c r="K22" s="22">
        <v>10.8</v>
      </c>
      <c r="L22" s="22">
        <f>J22*K22</f>
        <v>205.20000000000002</v>
      </c>
      <c r="M22" s="22"/>
      <c r="N22" s="22"/>
    </row>
    <row r="23" spans="1:16" x14ac:dyDescent="0.3">
      <c r="C23" s="9"/>
      <c r="D23" s="9"/>
      <c r="E23" s="9"/>
      <c r="F23" s="21"/>
      <c r="H23" s="80"/>
      <c r="I23" s="81" t="s">
        <v>98</v>
      </c>
      <c r="L23" s="63">
        <f>L21+L22</f>
        <v>13715.2</v>
      </c>
      <c r="N23" s="22"/>
    </row>
    <row r="24" spans="1:16" x14ac:dyDescent="0.3">
      <c r="B24" s="2" t="s">
        <v>13</v>
      </c>
      <c r="C24" s="19">
        <f>C4</f>
        <v>15789000</v>
      </c>
      <c r="D24" s="19"/>
      <c r="E24" s="19"/>
      <c r="F24" s="19"/>
      <c r="G24" s="19"/>
      <c r="H24" s="82"/>
      <c r="N24" s="22"/>
    </row>
    <row r="25" spans="1:16" x14ac:dyDescent="0.3">
      <c r="B25" s="2" t="s">
        <v>14</v>
      </c>
      <c r="C25" s="19">
        <f>N11</f>
        <v>52051044</v>
      </c>
      <c r="D25" s="19"/>
      <c r="E25" s="19"/>
      <c r="F25" s="19"/>
      <c r="G25" s="19"/>
      <c r="H25" s="82"/>
      <c r="I25" s="78" t="s">
        <v>47</v>
      </c>
      <c r="J25" s="78">
        <v>96.5</v>
      </c>
      <c r="K25" s="27">
        <v>140</v>
      </c>
      <c r="L25" s="27">
        <f>J25*K25</f>
        <v>13510</v>
      </c>
      <c r="M25" s="92" t="s">
        <v>19</v>
      </c>
      <c r="N25" s="22">
        <v>152.30000000000001</v>
      </c>
      <c r="O25" s="7">
        <v>141.5</v>
      </c>
      <c r="P25" s="1">
        <f>N25-O25</f>
        <v>10.800000000000011</v>
      </c>
    </row>
    <row r="26" spans="1:16" x14ac:dyDescent="0.3">
      <c r="B26" s="2" t="s">
        <v>21</v>
      </c>
      <c r="C26" s="19">
        <f>C16</f>
        <v>0</v>
      </c>
      <c r="D26" s="19"/>
      <c r="E26" s="19"/>
      <c r="F26" s="19"/>
      <c r="G26" s="19"/>
      <c r="H26" s="82"/>
      <c r="I26" s="93" t="s">
        <v>96</v>
      </c>
      <c r="J26" s="22">
        <v>73.599999999999994</v>
      </c>
      <c r="K26" s="22">
        <v>5</v>
      </c>
      <c r="L26" s="22">
        <f>J26*K26</f>
        <v>368</v>
      </c>
      <c r="M26" s="94"/>
      <c r="N26" s="22"/>
    </row>
    <row r="27" spans="1:16" x14ac:dyDescent="0.3">
      <c r="A27" s="1"/>
      <c r="B27" s="2" t="s">
        <v>12</v>
      </c>
      <c r="C27" s="19">
        <f>C21</f>
        <v>0</v>
      </c>
      <c r="D27" s="19"/>
      <c r="E27" s="19"/>
      <c r="F27" s="19"/>
      <c r="G27" s="19"/>
      <c r="H27" s="82"/>
      <c r="I27" s="22" t="s">
        <v>97</v>
      </c>
      <c r="J27" s="1">
        <v>23</v>
      </c>
      <c r="K27" s="22">
        <v>10.8</v>
      </c>
      <c r="L27" s="22">
        <f>J27*K27</f>
        <v>248.4</v>
      </c>
      <c r="N27" s="22"/>
    </row>
    <row r="28" spans="1:16" x14ac:dyDescent="0.3">
      <c r="A28" s="1"/>
      <c r="B28" s="13" t="s">
        <v>8</v>
      </c>
      <c r="C28" s="20">
        <f>C24+C25+C26+C27</f>
        <v>67840044</v>
      </c>
      <c r="D28" s="18">
        <f>C28/C11</f>
        <v>1616.5092572735721</v>
      </c>
      <c r="F28" s="18"/>
      <c r="H28" s="22"/>
      <c r="I28" s="81" t="s">
        <v>98</v>
      </c>
      <c r="L28" s="63">
        <f>SUM(L25:L27)</f>
        <v>14126.4</v>
      </c>
      <c r="M28" s="22"/>
      <c r="N28" s="22"/>
    </row>
    <row r="29" spans="1:16" x14ac:dyDescent="0.3">
      <c r="A29" s="1"/>
      <c r="B29" s="13" t="s">
        <v>9</v>
      </c>
      <c r="C29" s="20">
        <f>MROUND(C28*85%,1)</f>
        <v>57664037</v>
      </c>
      <c r="D29" s="20"/>
      <c r="F29" s="18"/>
      <c r="H29" s="83"/>
      <c r="M29" s="22"/>
      <c r="N29" s="22"/>
    </row>
    <row r="30" spans="1:16" x14ac:dyDescent="0.3">
      <c r="A30" s="1"/>
      <c r="B30" s="13" t="s">
        <v>10</v>
      </c>
      <c r="C30" s="20">
        <f>MROUND(C28*70%,1)</f>
        <v>47488031</v>
      </c>
      <c r="D30" s="20"/>
      <c r="F30" s="18"/>
      <c r="H30" s="83"/>
      <c r="I30" s="93" t="s">
        <v>48</v>
      </c>
      <c r="J30" s="78">
        <v>96.5</v>
      </c>
      <c r="K30" s="27">
        <v>140</v>
      </c>
      <c r="L30" s="27">
        <f>J30*K30</f>
        <v>13510</v>
      </c>
      <c r="M30" s="22"/>
      <c r="N30" s="22"/>
    </row>
    <row r="31" spans="1:16" x14ac:dyDescent="0.3">
      <c r="A31" s="1"/>
      <c r="B31" s="2" t="s">
        <v>24</v>
      </c>
      <c r="C31" s="19">
        <f>C25</f>
        <v>52051044</v>
      </c>
      <c r="D31" s="31"/>
      <c r="H31" s="22"/>
      <c r="I31" s="93" t="s">
        <v>96</v>
      </c>
      <c r="J31" s="22">
        <v>73.599999999999994</v>
      </c>
      <c r="K31" s="22">
        <v>5</v>
      </c>
      <c r="L31" s="22">
        <f>J31*K31</f>
        <v>368</v>
      </c>
      <c r="M31" s="22"/>
      <c r="N31" s="22"/>
    </row>
    <row r="32" spans="1:16" x14ac:dyDescent="0.3">
      <c r="A32" s="1"/>
      <c r="B32" s="13" t="s">
        <v>41</v>
      </c>
      <c r="C32" s="100">
        <f>MROUND(C31*0.85,1)</f>
        <v>44243387</v>
      </c>
      <c r="H32" s="22"/>
      <c r="I32" s="22" t="s">
        <v>97</v>
      </c>
      <c r="J32" s="1">
        <v>23</v>
      </c>
      <c r="K32" s="22">
        <v>10.8</v>
      </c>
      <c r="L32" s="22">
        <f>J32*K32</f>
        <v>248.4</v>
      </c>
      <c r="M32" s="22"/>
      <c r="N32" s="22"/>
      <c r="O32" s="35"/>
    </row>
    <row r="33" spans="1:19" x14ac:dyDescent="0.3">
      <c r="A33" s="1"/>
      <c r="H33" s="22"/>
      <c r="I33" s="95" t="s">
        <v>98</v>
      </c>
      <c r="J33" s="22"/>
      <c r="K33" s="22"/>
      <c r="L33" s="96">
        <f>SUM(L30:L32)</f>
        <v>14126.4</v>
      </c>
      <c r="M33" s="22"/>
      <c r="N33" s="22"/>
      <c r="O33" s="35"/>
    </row>
    <row r="34" spans="1:19" x14ac:dyDescent="0.3">
      <c r="A34" s="1"/>
      <c r="H34" s="22"/>
      <c r="I34" s="22"/>
      <c r="J34" s="22"/>
      <c r="K34" s="22"/>
      <c r="L34" s="84"/>
      <c r="M34" s="22"/>
      <c r="N34" s="22"/>
      <c r="O34" s="35"/>
    </row>
    <row r="35" spans="1:19" x14ac:dyDescent="0.3">
      <c r="A35" s="1"/>
      <c r="H35" s="22"/>
      <c r="I35" s="22"/>
      <c r="J35" s="22"/>
      <c r="K35" s="22"/>
      <c r="L35" s="84"/>
      <c r="M35" s="22"/>
      <c r="N35" s="22"/>
      <c r="O35" s="35"/>
    </row>
    <row r="36" spans="1:19" x14ac:dyDescent="0.3">
      <c r="A36" s="1"/>
      <c r="H36" s="83"/>
      <c r="I36" s="83"/>
      <c r="J36" s="22"/>
      <c r="K36" s="22"/>
      <c r="L36" s="84"/>
      <c r="M36" s="22"/>
      <c r="N36" s="22"/>
      <c r="O36" s="35"/>
    </row>
    <row r="37" spans="1:19" x14ac:dyDescent="0.3">
      <c r="A37" s="1"/>
      <c r="H37" s="22"/>
      <c r="I37" s="22"/>
      <c r="J37" s="22"/>
      <c r="K37" s="22"/>
      <c r="L37" s="84"/>
      <c r="M37" s="22"/>
      <c r="N37" s="22"/>
      <c r="O37" s="35"/>
    </row>
    <row r="38" spans="1:19" x14ac:dyDescent="0.3">
      <c r="A38" s="1"/>
      <c r="H38" s="22"/>
      <c r="I38" s="22"/>
      <c r="J38" s="22"/>
      <c r="K38" s="22"/>
      <c r="L38" s="84"/>
      <c r="M38" s="22"/>
      <c r="N38" s="22"/>
      <c r="O38" s="35"/>
    </row>
    <row r="39" spans="1:19" x14ac:dyDescent="0.3">
      <c r="A39" s="1"/>
      <c r="H39" s="22"/>
      <c r="I39" s="22"/>
      <c r="J39" s="22"/>
      <c r="K39" s="22"/>
      <c r="L39" s="84"/>
      <c r="M39" s="22"/>
      <c r="N39" s="22"/>
      <c r="O39" s="35"/>
    </row>
    <row r="40" spans="1:19" x14ac:dyDescent="0.3">
      <c r="A40" s="1"/>
      <c r="H40" s="22"/>
      <c r="I40" s="22"/>
      <c r="J40" s="22"/>
      <c r="K40" s="22"/>
      <c r="L40" s="84"/>
      <c r="M40" s="22"/>
      <c r="N40" s="22"/>
      <c r="O40" s="35"/>
    </row>
    <row r="41" spans="1:19" x14ac:dyDescent="0.3">
      <c r="A41" s="1"/>
      <c r="H41" s="22"/>
      <c r="I41" s="22"/>
      <c r="J41" s="22"/>
      <c r="K41" s="22"/>
      <c r="L41" s="22"/>
      <c r="M41" s="22"/>
      <c r="N41" s="22"/>
    </row>
    <row r="42" spans="1:19" ht="17.25" thickBot="1" x14ac:dyDescent="0.35">
      <c r="A42" s="1"/>
      <c r="H42" s="22"/>
      <c r="I42" s="85"/>
      <c r="J42" s="86" t="s">
        <v>93</v>
      </c>
      <c r="K42" s="85"/>
      <c r="L42" s="85"/>
      <c r="M42" s="85"/>
      <c r="N42" s="85"/>
      <c r="O42"/>
      <c r="P42"/>
      <c r="Q42"/>
      <c r="R42" s="66" t="s">
        <v>49</v>
      </c>
      <c r="S42"/>
    </row>
    <row r="43" spans="1:19" ht="17.25" thickBot="1" x14ac:dyDescent="0.35">
      <c r="A43" s="1"/>
      <c r="B43" s="1"/>
      <c r="H43" s="22"/>
      <c r="I43" s="85"/>
      <c r="J43" s="85" t="s">
        <v>50</v>
      </c>
      <c r="K43" s="87">
        <v>9590</v>
      </c>
      <c r="L43" s="85"/>
      <c r="M43" s="85"/>
      <c r="N43" s="85"/>
      <c r="O43"/>
      <c r="P43"/>
      <c r="Q43"/>
      <c r="R43" t="s">
        <v>51</v>
      </c>
      <c r="S43"/>
    </row>
    <row r="44" spans="1:19" ht="17.25" thickBot="1" x14ac:dyDescent="0.35">
      <c r="A44" s="1"/>
      <c r="B44" s="1"/>
      <c r="H44" s="22"/>
      <c r="I44" s="85"/>
      <c r="J44" s="85" t="s">
        <v>52</v>
      </c>
      <c r="K44" s="88">
        <v>9590</v>
      </c>
      <c r="L44" s="85"/>
      <c r="M44" s="85"/>
      <c r="N44" s="85"/>
      <c r="O44"/>
      <c r="P44"/>
      <c r="Q44"/>
      <c r="R44" t="s">
        <v>53</v>
      </c>
      <c r="S44">
        <v>14157</v>
      </c>
    </row>
    <row r="45" spans="1:19" x14ac:dyDescent="0.3">
      <c r="A45" s="1"/>
      <c r="B45" s="1"/>
      <c r="H45" s="22"/>
      <c r="I45" s="85"/>
      <c r="J45" s="89"/>
      <c r="K45" s="101">
        <f>K44+K43</f>
        <v>19180</v>
      </c>
      <c r="L45" s="85"/>
      <c r="M45" s="85"/>
      <c r="N45" s="85"/>
      <c r="O45"/>
      <c r="P45"/>
      <c r="Q45"/>
      <c r="R45" t="s">
        <v>54</v>
      </c>
      <c r="S45">
        <v>13248</v>
      </c>
    </row>
    <row r="46" spans="1:19" x14ac:dyDescent="0.3">
      <c r="A46" s="1"/>
      <c r="B46" s="1"/>
      <c r="H46" s="22"/>
      <c r="I46" s="85"/>
      <c r="J46" s="89"/>
      <c r="K46" s="89"/>
      <c r="L46" s="85"/>
      <c r="M46" s="85"/>
      <c r="N46" s="85"/>
      <c r="O46"/>
      <c r="P46"/>
      <c r="Q46"/>
      <c r="R46" s="67" t="s">
        <v>55</v>
      </c>
      <c r="S46" s="67">
        <f>S45+S44</f>
        <v>27405</v>
      </c>
    </row>
    <row r="47" spans="1:19" x14ac:dyDescent="0.3">
      <c r="A47" s="1"/>
      <c r="B47" s="1"/>
      <c r="H47" s="22"/>
      <c r="I47" s="85"/>
      <c r="J47" s="86" t="s">
        <v>56</v>
      </c>
      <c r="K47" s="85"/>
      <c r="L47" s="85"/>
      <c r="M47" s="85"/>
      <c r="N47" s="85"/>
      <c r="O47"/>
      <c r="P47"/>
      <c r="Q47"/>
      <c r="R47" t="s">
        <v>57</v>
      </c>
      <c r="S47">
        <v>13248</v>
      </c>
    </row>
    <row r="48" spans="1:19" x14ac:dyDescent="0.3">
      <c r="A48" s="1"/>
      <c r="B48" s="1"/>
      <c r="H48" s="22"/>
      <c r="I48" s="85"/>
      <c r="J48" s="89" t="s">
        <v>58</v>
      </c>
      <c r="K48" s="85"/>
      <c r="L48" s="85"/>
      <c r="M48" s="85"/>
      <c r="N48" s="85"/>
      <c r="O48"/>
      <c r="P48"/>
      <c r="Q48"/>
      <c r="R48"/>
      <c r="S48" s="68"/>
    </row>
    <row r="49" spans="1:19" x14ac:dyDescent="0.3">
      <c r="A49" s="1"/>
      <c r="B49" s="1"/>
      <c r="H49" s="22"/>
      <c r="I49" s="85" t="s">
        <v>58</v>
      </c>
      <c r="J49" s="85">
        <v>139.94999999999999</v>
      </c>
      <c r="K49" s="85">
        <v>95.06</v>
      </c>
      <c r="L49" s="85">
        <f>K49*J49</f>
        <v>13303.646999999999</v>
      </c>
      <c r="M49" s="85"/>
      <c r="N49" s="85"/>
      <c r="O49"/>
      <c r="P49"/>
      <c r="Q49"/>
      <c r="R49"/>
      <c r="S49" s="69"/>
    </row>
    <row r="50" spans="1:19" x14ac:dyDescent="0.3">
      <c r="A50" s="1"/>
      <c r="B50" s="1"/>
      <c r="H50" s="22"/>
      <c r="I50" s="85" t="s">
        <v>59</v>
      </c>
      <c r="J50" s="85">
        <v>12.72</v>
      </c>
      <c r="K50" s="85">
        <v>110.12</v>
      </c>
      <c r="L50" s="85">
        <f t="shared" ref="L50:L65" si="16">K50*J50</f>
        <v>1400.7264000000002</v>
      </c>
      <c r="M50" s="85"/>
      <c r="N50" s="85"/>
      <c r="O50"/>
      <c r="P50"/>
      <c r="Q50"/>
      <c r="R50"/>
      <c r="S50" s="69"/>
    </row>
    <row r="51" spans="1:19" x14ac:dyDescent="0.3">
      <c r="A51" s="1"/>
      <c r="B51" s="1"/>
      <c r="H51" s="22"/>
      <c r="I51" s="85"/>
      <c r="J51" s="85"/>
      <c r="K51" s="85" t="s">
        <v>55</v>
      </c>
      <c r="L51" s="89">
        <f>L50+L49</f>
        <v>14704.373399999999</v>
      </c>
      <c r="M51" s="85"/>
      <c r="N51" s="85"/>
      <c r="O51"/>
      <c r="P51"/>
      <c r="Q51"/>
      <c r="R51"/>
      <c r="S51" s="69"/>
    </row>
    <row r="52" spans="1:19" x14ac:dyDescent="0.3">
      <c r="A52" s="1"/>
      <c r="B52" s="1"/>
      <c r="F52" s="37"/>
      <c r="G52" s="37"/>
      <c r="H52" s="90"/>
      <c r="I52" s="85"/>
      <c r="J52" s="85"/>
      <c r="K52" s="85"/>
      <c r="L52" s="89"/>
      <c r="M52" s="89"/>
      <c r="N52" s="85"/>
      <c r="O52"/>
      <c r="P52"/>
      <c r="Q52"/>
      <c r="R52"/>
      <c r="S52" s="69"/>
    </row>
    <row r="53" spans="1:19" x14ac:dyDescent="0.3">
      <c r="A53" s="1"/>
      <c r="B53" s="1"/>
      <c r="F53" s="35"/>
      <c r="G53" s="1"/>
      <c r="H53" s="91"/>
      <c r="I53" s="85"/>
      <c r="J53" s="85"/>
      <c r="K53" s="85"/>
      <c r="L53" s="85"/>
      <c r="M53" s="85"/>
      <c r="N53" s="85"/>
      <c r="O53"/>
      <c r="P53"/>
      <c r="Q53"/>
      <c r="R53"/>
      <c r="S53" s="69"/>
    </row>
    <row r="54" spans="1:19" x14ac:dyDescent="0.3">
      <c r="A54" s="1"/>
      <c r="B54" s="1"/>
      <c r="F54" s="35"/>
      <c r="G54" s="35"/>
      <c r="H54" s="91"/>
      <c r="I54" s="85"/>
      <c r="J54" s="89" t="s">
        <v>54</v>
      </c>
      <c r="K54" s="89" t="s">
        <v>60</v>
      </c>
      <c r="L54" s="85"/>
      <c r="M54" s="85"/>
      <c r="N54" s="85"/>
      <c r="O54"/>
      <c r="P54"/>
      <c r="Q54"/>
      <c r="R54"/>
      <c r="S54" s="69"/>
    </row>
    <row r="55" spans="1:19" x14ac:dyDescent="0.3">
      <c r="A55" s="1"/>
      <c r="B55" s="1"/>
      <c r="F55" s="35"/>
      <c r="G55" s="35"/>
      <c r="H55" s="91"/>
      <c r="I55" s="85" t="s">
        <v>61</v>
      </c>
      <c r="J55" s="85">
        <v>9.5299999999999994</v>
      </c>
      <c r="K55" s="85">
        <v>5.36</v>
      </c>
      <c r="L55" s="85">
        <f t="shared" si="16"/>
        <v>51.080799999999996</v>
      </c>
      <c r="M55" s="85"/>
      <c r="N55" s="85"/>
      <c r="O55"/>
      <c r="P55"/>
      <c r="Q55"/>
      <c r="R55"/>
      <c r="S55" s="69"/>
    </row>
    <row r="56" spans="1:19" x14ac:dyDescent="0.3">
      <c r="A56" s="1"/>
      <c r="B56" s="1"/>
      <c r="F56" s="35"/>
      <c r="G56" s="39"/>
      <c r="H56" s="91"/>
      <c r="I56" s="85" t="s">
        <v>62</v>
      </c>
      <c r="J56" s="85">
        <v>9.76</v>
      </c>
      <c r="K56" s="85">
        <v>5.13</v>
      </c>
      <c r="L56" s="85">
        <f t="shared" si="16"/>
        <v>50.068799999999996</v>
      </c>
      <c r="M56" s="85"/>
      <c r="N56" s="85"/>
      <c r="O56"/>
      <c r="P56"/>
      <c r="Q56"/>
      <c r="R56"/>
      <c r="S56" s="69"/>
    </row>
    <row r="57" spans="1:19" x14ac:dyDescent="0.3">
      <c r="A57" s="1"/>
      <c r="B57" s="1"/>
      <c r="F57" s="35"/>
      <c r="G57" s="35"/>
      <c r="H57" s="91"/>
      <c r="I57" s="85" t="s">
        <v>63</v>
      </c>
      <c r="J57" s="85">
        <v>94.95</v>
      </c>
      <c r="K57" s="85">
        <v>139.96</v>
      </c>
      <c r="L57" s="85">
        <f t="shared" si="16"/>
        <v>13289.202000000001</v>
      </c>
      <c r="M57" s="85"/>
      <c r="N57" s="85"/>
      <c r="O57"/>
      <c r="P57"/>
      <c r="Q57"/>
      <c r="R57"/>
      <c r="S57" s="69"/>
    </row>
    <row r="58" spans="1:19" x14ac:dyDescent="0.3">
      <c r="A58" s="1"/>
      <c r="B58" s="1"/>
      <c r="F58" s="35"/>
      <c r="G58" s="35"/>
      <c r="H58" s="91"/>
      <c r="I58" s="85" t="s">
        <v>64</v>
      </c>
      <c r="J58" s="85">
        <v>5.09</v>
      </c>
      <c r="K58" s="85">
        <v>66.39</v>
      </c>
      <c r="L58" s="85">
        <f t="shared" si="16"/>
        <v>337.92509999999999</v>
      </c>
      <c r="M58" s="85"/>
      <c r="N58" s="85"/>
      <c r="O58"/>
      <c r="P58"/>
      <c r="Q58"/>
      <c r="R58"/>
      <c r="S58"/>
    </row>
    <row r="59" spans="1:19" x14ac:dyDescent="0.3">
      <c r="A59" s="1"/>
      <c r="B59" s="1"/>
      <c r="F59" s="35"/>
      <c r="G59" s="35"/>
      <c r="H59" s="91"/>
      <c r="I59" s="85" t="s">
        <v>59</v>
      </c>
      <c r="J59" s="85">
        <v>10.050000000000001</v>
      </c>
      <c r="K59" s="85">
        <v>16.88</v>
      </c>
      <c r="L59" s="85">
        <f t="shared" si="16"/>
        <v>169.64400000000001</v>
      </c>
      <c r="M59" s="85"/>
      <c r="N59" s="85"/>
      <c r="O59"/>
      <c r="P59"/>
      <c r="Q59"/>
      <c r="R59"/>
      <c r="S59"/>
    </row>
    <row r="60" spans="1:19" x14ac:dyDescent="0.3">
      <c r="A60" s="1"/>
      <c r="B60" s="1"/>
      <c r="F60" s="35"/>
      <c r="G60" s="35"/>
      <c r="H60" s="91"/>
      <c r="I60" s="85"/>
      <c r="J60" s="85"/>
      <c r="K60" s="85"/>
      <c r="L60" s="89">
        <f>SUM(L55:L59)</f>
        <v>13897.920700000002</v>
      </c>
      <c r="M60" s="89"/>
      <c r="N60" s="85"/>
      <c r="O60"/>
      <c r="P60"/>
      <c r="Q60"/>
      <c r="R60"/>
      <c r="S60" s="69"/>
    </row>
    <row r="61" spans="1:19" x14ac:dyDescent="0.3">
      <c r="A61" s="1"/>
      <c r="B61" s="1"/>
      <c r="F61" s="35"/>
      <c r="G61" s="35"/>
      <c r="H61" s="91"/>
      <c r="I61" s="85"/>
      <c r="J61" s="109" t="s">
        <v>65</v>
      </c>
      <c r="K61" s="109"/>
      <c r="L61" s="89">
        <f>L60+L51</f>
        <v>28602.294099999999</v>
      </c>
      <c r="M61" s="89"/>
      <c r="N61" s="85"/>
      <c r="O61"/>
      <c r="P61"/>
      <c r="Q61"/>
      <c r="R61"/>
      <c r="S61" s="69"/>
    </row>
    <row r="62" spans="1:19" x14ac:dyDescent="0.3">
      <c r="A62" s="1"/>
      <c r="B62" s="1"/>
      <c r="F62" s="35"/>
      <c r="G62" s="35"/>
      <c r="H62" s="91"/>
      <c r="I62" s="85"/>
      <c r="J62" s="89" t="s">
        <v>66</v>
      </c>
      <c r="K62" s="85"/>
      <c r="L62" s="85"/>
      <c r="M62" s="85"/>
      <c r="N62" s="85"/>
      <c r="O62"/>
      <c r="P62"/>
      <c r="Q62"/>
      <c r="R62"/>
      <c r="S62"/>
    </row>
    <row r="63" spans="1:19" x14ac:dyDescent="0.3">
      <c r="A63" s="1"/>
      <c r="B63" s="1"/>
      <c r="H63" s="22"/>
      <c r="I63" s="85" t="s">
        <v>67</v>
      </c>
      <c r="J63" s="85">
        <v>94.55</v>
      </c>
      <c r="K63" s="85">
        <v>140.1</v>
      </c>
      <c r="L63" s="85">
        <f t="shared" si="16"/>
        <v>13246.455</v>
      </c>
      <c r="M63" s="85"/>
      <c r="N63" s="85"/>
      <c r="O63"/>
      <c r="P63"/>
      <c r="Q63"/>
      <c r="R63"/>
      <c r="S63"/>
    </row>
    <row r="64" spans="1:19" x14ac:dyDescent="0.3">
      <c r="A64" s="1"/>
      <c r="B64" s="1"/>
      <c r="H64" s="22"/>
      <c r="I64" s="85" t="s">
        <v>68</v>
      </c>
      <c r="J64" s="85">
        <v>5.19</v>
      </c>
      <c r="K64" s="85">
        <v>65.64</v>
      </c>
      <c r="L64" s="85">
        <f t="shared" si="16"/>
        <v>340.67160000000001</v>
      </c>
      <c r="M64" s="85"/>
      <c r="N64" s="85"/>
      <c r="O64"/>
      <c r="P64"/>
      <c r="Q64"/>
      <c r="R64"/>
      <c r="S64"/>
    </row>
    <row r="65" spans="1:19" x14ac:dyDescent="0.3">
      <c r="A65" s="1"/>
      <c r="B65" s="1"/>
      <c r="H65" s="22"/>
      <c r="I65" s="85" t="s">
        <v>59</v>
      </c>
      <c r="J65" s="85">
        <v>10.1</v>
      </c>
      <c r="K65" s="85">
        <v>16.91</v>
      </c>
      <c r="L65" s="85">
        <f t="shared" si="16"/>
        <v>170.791</v>
      </c>
      <c r="M65" s="85"/>
      <c r="N65" s="85"/>
      <c r="O65"/>
      <c r="P65"/>
      <c r="Q65"/>
      <c r="R65"/>
      <c r="S65"/>
    </row>
    <row r="66" spans="1:19" x14ac:dyDescent="0.3">
      <c r="A66" s="1"/>
      <c r="B66" s="1"/>
      <c r="H66" s="22"/>
      <c r="I66" s="85"/>
      <c r="J66" s="85"/>
      <c r="K66" s="85"/>
      <c r="L66" s="89">
        <f>SUM(L63:L65)</f>
        <v>13757.917599999999</v>
      </c>
      <c r="M66" s="89"/>
      <c r="N66" s="85"/>
      <c r="O66"/>
      <c r="P66"/>
      <c r="Q66"/>
      <c r="R66"/>
      <c r="S66"/>
    </row>
    <row r="67" spans="1:19" x14ac:dyDescent="0.3">
      <c r="A67" s="1"/>
      <c r="B67" s="1"/>
      <c r="H67" s="22"/>
      <c r="I67" s="85"/>
      <c r="J67" s="85"/>
      <c r="K67" s="85"/>
      <c r="L67" s="89">
        <f>L66+L60+L52</f>
        <v>27655.838300000003</v>
      </c>
      <c r="M67" s="85"/>
      <c r="N67" s="85"/>
      <c r="O67"/>
      <c r="P67"/>
      <c r="Q67"/>
      <c r="R67"/>
      <c r="S67"/>
    </row>
    <row r="68" spans="1:19" x14ac:dyDescent="0.3">
      <c r="A68" s="1"/>
      <c r="B68" s="1"/>
      <c r="F68" s="40"/>
      <c r="H68" s="22"/>
      <c r="I68" s="22"/>
      <c r="J68" s="22"/>
      <c r="K68" s="22"/>
      <c r="L68" s="22"/>
      <c r="M68" s="22"/>
      <c r="N68" s="22"/>
    </row>
    <row r="69" spans="1:19" x14ac:dyDescent="0.3">
      <c r="A69" s="1"/>
      <c r="B69" s="1"/>
      <c r="F69" s="40"/>
      <c r="H69" s="22"/>
      <c r="I69" s="85" t="s">
        <v>69</v>
      </c>
      <c r="J69" s="85">
        <v>94.15</v>
      </c>
      <c r="K69" s="85">
        <v>12.31</v>
      </c>
      <c r="L69" s="85">
        <f>K69*J69</f>
        <v>1158.9865000000002</v>
      </c>
      <c r="M69" s="22"/>
      <c r="N69" s="22"/>
    </row>
    <row r="70" spans="1:19" x14ac:dyDescent="0.3">
      <c r="A70" s="1"/>
      <c r="B70" s="1"/>
      <c r="F70" s="40"/>
      <c r="H70" s="22"/>
      <c r="I70" s="22"/>
      <c r="J70" s="22"/>
      <c r="K70" s="22"/>
      <c r="L70" s="22"/>
      <c r="M70" s="22"/>
      <c r="N70" s="22"/>
    </row>
    <row r="71" spans="1:19" x14ac:dyDescent="0.3">
      <c r="A71" s="1"/>
      <c r="B71" s="1"/>
      <c r="F71" s="40"/>
      <c r="H71" s="22"/>
      <c r="I71" s="22"/>
      <c r="J71" s="22"/>
      <c r="K71" s="22"/>
      <c r="L71" s="22"/>
      <c r="M71" s="22"/>
      <c r="N71" s="22"/>
    </row>
    <row r="72" spans="1:19" x14ac:dyDescent="0.3">
      <c r="A72" s="1"/>
      <c r="B72" s="1"/>
      <c r="F72" s="40"/>
      <c r="H72" s="22"/>
      <c r="I72" s="22"/>
      <c r="J72" s="22"/>
      <c r="K72" s="22"/>
      <c r="L72" s="22"/>
      <c r="M72" s="22"/>
      <c r="N72" s="22"/>
    </row>
    <row r="73" spans="1:19" x14ac:dyDescent="0.3">
      <c r="A73" s="1"/>
      <c r="B73" s="1"/>
      <c r="F73" s="40"/>
      <c r="H73" s="22"/>
      <c r="I73" s="22"/>
      <c r="J73" s="22"/>
      <c r="K73" s="22"/>
      <c r="L73" s="22"/>
      <c r="M73" s="22"/>
      <c r="N73" s="22"/>
    </row>
    <row r="74" spans="1:19" x14ac:dyDescent="0.3">
      <c r="A74" s="1"/>
      <c r="B74" s="1"/>
      <c r="F74" s="40"/>
      <c r="H74" s="22"/>
      <c r="I74" s="22"/>
      <c r="J74" s="22"/>
      <c r="K74" s="22"/>
      <c r="L74" s="22"/>
      <c r="M74" s="22"/>
      <c r="N74" s="22"/>
    </row>
    <row r="75" spans="1:19" x14ac:dyDescent="0.3">
      <c r="A75" s="1"/>
      <c r="B75" s="1"/>
      <c r="F75" s="40"/>
      <c r="H75" s="22"/>
      <c r="I75" s="22"/>
      <c r="J75" s="22"/>
      <c r="K75" s="22"/>
      <c r="L75" s="22"/>
      <c r="M75" s="22"/>
      <c r="N75" s="22"/>
    </row>
    <row r="76" spans="1:19" x14ac:dyDescent="0.3">
      <c r="A76" s="1"/>
      <c r="B76" s="1"/>
      <c r="F76" s="40"/>
      <c r="H76" s="22"/>
      <c r="I76" s="22"/>
      <c r="J76" s="22"/>
      <c r="K76" s="22"/>
      <c r="L76" s="22"/>
      <c r="M76" s="22"/>
      <c r="N76" s="22"/>
    </row>
    <row r="77" spans="1:19" x14ac:dyDescent="0.3">
      <c r="A77" s="1"/>
      <c r="B77" s="1"/>
      <c r="F77" s="40"/>
      <c r="H77" s="22"/>
      <c r="I77" s="22"/>
      <c r="J77" s="22"/>
      <c r="K77" s="22"/>
      <c r="L77" s="22"/>
      <c r="M77" s="22"/>
      <c r="N77" s="22"/>
    </row>
    <row r="78" spans="1:19" x14ac:dyDescent="0.3">
      <c r="A78" s="1"/>
      <c r="B78" s="1"/>
      <c r="H78" s="22"/>
      <c r="I78" s="22" t="s">
        <v>86</v>
      </c>
      <c r="J78" s="22"/>
      <c r="K78" s="22"/>
      <c r="L78" s="22"/>
      <c r="M78" s="22"/>
      <c r="N78" s="22"/>
    </row>
    <row r="79" spans="1:19" x14ac:dyDescent="0.3">
      <c r="A79" s="1"/>
      <c r="B79" s="1"/>
      <c r="H79" s="22"/>
      <c r="I79" s="22" t="s">
        <v>87</v>
      </c>
      <c r="J79" s="22">
        <v>15789</v>
      </c>
      <c r="K79" s="22"/>
      <c r="L79" s="22"/>
      <c r="M79" s="22"/>
      <c r="N79" s="22"/>
    </row>
    <row r="80" spans="1:19" x14ac:dyDescent="0.3">
      <c r="A80" s="1"/>
      <c r="B80" s="1"/>
      <c r="H80" s="22"/>
      <c r="I80" s="22" t="s">
        <v>88</v>
      </c>
      <c r="J80" s="22">
        <v>1600</v>
      </c>
      <c r="K80" s="22"/>
      <c r="L80" s="22"/>
      <c r="M80" s="22"/>
      <c r="N80" s="22"/>
    </row>
    <row r="81" spans="1:14" x14ac:dyDescent="0.3">
      <c r="A81" s="1"/>
      <c r="B81" s="1"/>
      <c r="H81" s="22"/>
      <c r="I81" s="22"/>
      <c r="J81" s="22">
        <f>SUM(J79:J80)</f>
        <v>17389</v>
      </c>
      <c r="K81" s="22" t="s">
        <v>89</v>
      </c>
      <c r="L81" s="22"/>
      <c r="M81" s="22"/>
      <c r="N81" s="22"/>
    </row>
    <row r="82" spans="1:14" x14ac:dyDescent="0.3">
      <c r="A82" s="1"/>
      <c r="B82" s="1"/>
      <c r="H82" s="22"/>
      <c r="I82" s="22"/>
      <c r="J82" s="22"/>
      <c r="K82" s="22"/>
      <c r="L82" s="22"/>
      <c r="M82" s="22"/>
      <c r="N82" s="22"/>
    </row>
    <row r="83" spans="1:14" x14ac:dyDescent="0.3">
      <c r="A83" s="1"/>
      <c r="B83" s="1"/>
      <c r="H83" s="22"/>
      <c r="I83" s="22"/>
      <c r="J83" s="22"/>
      <c r="K83" s="22"/>
      <c r="L83" s="22"/>
      <c r="M83" s="22"/>
      <c r="N83" s="22"/>
    </row>
    <row r="84" spans="1:14" x14ac:dyDescent="0.3">
      <c r="A84" s="1"/>
      <c r="B84" s="1"/>
      <c r="H84" s="22"/>
      <c r="I84" s="22"/>
      <c r="J84" s="22"/>
      <c r="K84" s="22"/>
      <c r="L84" s="22"/>
      <c r="M84" s="22"/>
      <c r="N84" s="22"/>
    </row>
    <row r="85" spans="1:14" x14ac:dyDescent="0.3">
      <c r="A85" s="1"/>
      <c r="B85" s="1"/>
      <c r="H85" s="22"/>
      <c r="I85" s="22"/>
      <c r="J85" s="22"/>
      <c r="K85" s="22"/>
      <c r="L85" s="22"/>
      <c r="M85" s="22"/>
      <c r="N85" s="22"/>
    </row>
    <row r="86" spans="1:14" x14ac:dyDescent="0.3">
      <c r="A86" s="1"/>
      <c r="B86" s="1"/>
      <c r="H86" s="22"/>
      <c r="I86" s="22"/>
      <c r="J86" s="22"/>
      <c r="K86" s="22"/>
      <c r="L86" s="22"/>
      <c r="M86" s="22"/>
      <c r="N86" s="22"/>
    </row>
    <row r="87" spans="1:14" x14ac:dyDescent="0.3">
      <c r="A87" s="1"/>
      <c r="B87" s="1"/>
      <c r="H87" s="22"/>
      <c r="I87" s="22"/>
      <c r="J87" s="22"/>
      <c r="K87" s="22"/>
      <c r="L87" s="22"/>
      <c r="M87" s="22"/>
      <c r="N87" s="22"/>
    </row>
    <row r="88" spans="1:14" x14ac:dyDescent="0.3">
      <c r="A88" s="1"/>
      <c r="B88" s="1"/>
      <c r="H88" s="22"/>
      <c r="I88" s="22"/>
      <c r="J88" s="22"/>
      <c r="K88" s="22"/>
      <c r="L88" s="22"/>
      <c r="M88" s="22"/>
      <c r="N88" s="22"/>
    </row>
    <row r="89" spans="1:14" x14ac:dyDescent="0.3">
      <c r="A89" s="1"/>
      <c r="B89" s="1"/>
      <c r="H89" s="22"/>
      <c r="I89" s="22"/>
      <c r="J89" s="22"/>
      <c r="K89" s="22"/>
      <c r="L89" s="22"/>
      <c r="M89" s="22"/>
      <c r="N89" s="22"/>
    </row>
    <row r="90" spans="1:14" x14ac:dyDescent="0.3">
      <c r="A90" s="1"/>
      <c r="B90" s="1"/>
      <c r="H90" s="22"/>
      <c r="I90" s="22"/>
      <c r="J90" s="22"/>
      <c r="K90" s="22"/>
      <c r="L90" s="22"/>
      <c r="M90" s="22"/>
      <c r="N90" s="22"/>
    </row>
    <row r="91" spans="1:14" x14ac:dyDescent="0.3">
      <c r="A91" s="1"/>
      <c r="B91" s="1"/>
      <c r="H91" s="22"/>
      <c r="I91" s="22"/>
      <c r="J91" s="22"/>
      <c r="K91" s="22"/>
      <c r="L91" s="22"/>
      <c r="M91" s="22"/>
      <c r="N91" s="22"/>
    </row>
    <row r="92" spans="1:14" x14ac:dyDescent="0.3">
      <c r="A92" s="1"/>
      <c r="B92" s="1"/>
      <c r="H92" s="22"/>
      <c r="I92" s="22"/>
      <c r="J92" s="22">
        <v>31</v>
      </c>
      <c r="K92" s="22">
        <v>6</v>
      </c>
      <c r="L92" s="22">
        <v>20</v>
      </c>
      <c r="M92" s="22">
        <v>0</v>
      </c>
      <c r="N92" s="22"/>
    </row>
    <row r="93" spans="1:14" x14ac:dyDescent="0.3">
      <c r="A93" s="1"/>
      <c r="B93" s="1"/>
      <c r="H93" s="22"/>
      <c r="I93" s="22"/>
      <c r="J93" s="22"/>
      <c r="K93" s="22"/>
      <c r="L93" s="22"/>
      <c r="M93" s="22"/>
      <c r="N93" s="22"/>
    </row>
    <row r="94" spans="1:14" x14ac:dyDescent="0.3">
      <c r="A94" s="1"/>
      <c r="B94" s="1"/>
    </row>
    <row r="95" spans="1:14" x14ac:dyDescent="0.3">
      <c r="A95" s="1"/>
      <c r="B95" s="1"/>
    </row>
    <row r="96" spans="1:14" x14ac:dyDescent="0.3">
      <c r="A96" s="1"/>
      <c r="B96" s="1"/>
    </row>
    <row r="97" spans="1:11" x14ac:dyDescent="0.3">
      <c r="A97" s="1"/>
      <c r="B97" s="1"/>
    </row>
    <row r="98" spans="1:11" x14ac:dyDescent="0.3">
      <c r="A98" s="1"/>
      <c r="B98" s="1"/>
      <c r="I98" s="7" t="s">
        <v>92</v>
      </c>
    </row>
    <row r="99" spans="1:11" x14ac:dyDescent="0.3">
      <c r="A99" s="1"/>
      <c r="B99" s="1"/>
      <c r="I99" s="7">
        <v>1467.38</v>
      </c>
      <c r="J99" s="1" t="s">
        <v>91</v>
      </c>
    </row>
    <row r="100" spans="1:11" x14ac:dyDescent="0.3">
      <c r="A100" s="1"/>
      <c r="B100" s="1"/>
      <c r="I100" s="7">
        <f>MROUND(I99*10.764,1)</f>
        <v>15795</v>
      </c>
      <c r="J100" s="1" t="s">
        <v>40</v>
      </c>
    </row>
    <row r="101" spans="1:11" x14ac:dyDescent="0.3">
      <c r="A101" s="1"/>
      <c r="B101" s="1"/>
    </row>
    <row r="102" spans="1:11" x14ac:dyDescent="0.3">
      <c r="A102" s="1"/>
      <c r="B102" s="1"/>
    </row>
    <row r="103" spans="1:11" x14ac:dyDescent="0.3">
      <c r="A103" s="1"/>
      <c r="B103" s="1"/>
      <c r="I103" s="7">
        <v>123</v>
      </c>
      <c r="J103" s="1">
        <v>78</v>
      </c>
      <c r="K103" s="7">
        <f>I103*J103</f>
        <v>9594</v>
      </c>
    </row>
    <row r="104" spans="1:11" x14ac:dyDescent="0.3">
      <c r="A104" s="1"/>
      <c r="B104" s="1"/>
    </row>
    <row r="105" spans="1:11" x14ac:dyDescent="0.3">
      <c r="A105" s="1"/>
      <c r="B105" s="1"/>
    </row>
    <row r="106" spans="1:11" x14ac:dyDescent="0.3">
      <c r="A106" s="1"/>
      <c r="B106" s="1"/>
      <c r="I106" s="7">
        <v>138.5</v>
      </c>
      <c r="J106" s="1">
        <v>95</v>
      </c>
      <c r="K106" s="7">
        <f>I106*J106</f>
        <v>13157.5</v>
      </c>
    </row>
    <row r="107" spans="1:11" x14ac:dyDescent="0.3">
      <c r="A107" s="1"/>
      <c r="B107" s="1"/>
    </row>
    <row r="108" spans="1:11" x14ac:dyDescent="0.3">
      <c r="A108" s="1"/>
      <c r="B108" s="1"/>
    </row>
    <row r="109" spans="1:11" x14ac:dyDescent="0.3">
      <c r="A109" s="1"/>
      <c r="B109" s="1"/>
    </row>
    <row r="110" spans="1:11" x14ac:dyDescent="0.3">
      <c r="A110" s="1"/>
      <c r="B110" s="1"/>
    </row>
    <row r="111" spans="1:11" x14ac:dyDescent="0.3">
      <c r="A111" s="1"/>
      <c r="B111" s="1"/>
    </row>
    <row r="112" spans="1:11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J61:K6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2A60-816F-43C3-83D7-82336EB37FE1}">
  <dimension ref="A1:E7"/>
  <sheetViews>
    <sheetView tabSelected="1" workbookViewId="0">
      <selection activeCell="L18" sqref="L18"/>
    </sheetView>
  </sheetViews>
  <sheetFormatPr defaultRowHeight="15" x14ac:dyDescent="0.25"/>
  <cols>
    <col min="2" max="2" width="7" bestFit="1" customWidth="1"/>
    <col min="3" max="3" width="7" customWidth="1"/>
    <col min="4" max="4" width="14.28515625" bestFit="1" customWidth="1"/>
    <col min="5" max="5" width="14.140625" bestFit="1" customWidth="1"/>
  </cols>
  <sheetData>
    <row r="1" spans="1:5" x14ac:dyDescent="0.25">
      <c r="A1" t="s">
        <v>7</v>
      </c>
      <c r="B1" t="s">
        <v>103</v>
      </c>
      <c r="D1" t="s">
        <v>104</v>
      </c>
      <c r="E1" t="s">
        <v>105</v>
      </c>
    </row>
    <row r="2" spans="1:5" x14ac:dyDescent="0.25">
      <c r="A2">
        <v>1647000</v>
      </c>
      <c r="B2">
        <v>900</v>
      </c>
      <c r="C2">
        <f>B2*10.764</f>
        <v>9687.5999999999985</v>
      </c>
      <c r="D2">
        <f t="shared" ref="D2:D7" si="0">A2/B2</f>
        <v>1830</v>
      </c>
      <c r="E2">
        <f t="shared" ref="E2:E7" si="1">D2/10.764</f>
        <v>170.01114827201783</v>
      </c>
    </row>
    <row r="3" spans="1:5" x14ac:dyDescent="0.25">
      <c r="A3">
        <v>30000000</v>
      </c>
      <c r="B3">
        <v>2530</v>
      </c>
      <c r="C3">
        <f t="shared" ref="C3:C7" si="2">B3*10.764</f>
        <v>27232.92</v>
      </c>
      <c r="D3">
        <f t="shared" si="0"/>
        <v>11857.707509881422</v>
      </c>
      <c r="E3">
        <f t="shared" si="1"/>
        <v>1101.6079069009127</v>
      </c>
    </row>
    <row r="4" spans="1:5" x14ac:dyDescent="0.25">
      <c r="A4">
        <v>2500000</v>
      </c>
      <c r="B4">
        <v>325.27999999999997</v>
      </c>
      <c r="C4">
        <f t="shared" si="2"/>
        <v>3501.3139199999996</v>
      </c>
      <c r="D4">
        <f t="shared" si="0"/>
        <v>7685.6861780619784</v>
      </c>
      <c r="E4">
        <f t="shared" si="1"/>
        <v>714.0176679730564</v>
      </c>
    </row>
    <row r="5" spans="1:5" x14ac:dyDescent="0.25">
      <c r="A5">
        <v>1700000</v>
      </c>
      <c r="B5">
        <v>640</v>
      </c>
      <c r="C5">
        <f t="shared" si="2"/>
        <v>6888.9599999999991</v>
      </c>
      <c r="D5">
        <f t="shared" si="0"/>
        <v>2656.25</v>
      </c>
      <c r="E5">
        <f t="shared" si="1"/>
        <v>246.77164622816798</v>
      </c>
    </row>
    <row r="6" spans="1:5" x14ac:dyDescent="0.25">
      <c r="A6">
        <v>5075000</v>
      </c>
      <c r="B6">
        <v>3500</v>
      </c>
      <c r="C6">
        <f t="shared" si="2"/>
        <v>37674</v>
      </c>
      <c r="D6">
        <f t="shared" si="0"/>
        <v>1450</v>
      </c>
      <c r="E6">
        <f t="shared" si="1"/>
        <v>134.70828688219993</v>
      </c>
    </row>
    <row r="7" spans="1:5" x14ac:dyDescent="0.25">
      <c r="A7">
        <v>5000000</v>
      </c>
      <c r="B7">
        <v>570</v>
      </c>
      <c r="C7">
        <f t="shared" si="2"/>
        <v>6135.48</v>
      </c>
      <c r="D7">
        <f t="shared" si="0"/>
        <v>8771.9298245614027</v>
      </c>
      <c r="E7">
        <f t="shared" si="1"/>
        <v>814.93216504658153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AE093-F72F-48D7-9750-DFB981D58AEB}">
  <dimension ref="A1:S173"/>
  <sheetViews>
    <sheetView workbookViewId="0">
      <selection activeCell="H8" sqref="H8"/>
    </sheetView>
  </sheetViews>
  <sheetFormatPr defaultRowHeight="16.5" x14ac:dyDescent="0.3"/>
  <cols>
    <col min="1" max="1" width="9.140625" style="41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21.71093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5">
        <v>15789</v>
      </c>
      <c r="D2" s="7" t="s">
        <v>44</v>
      </c>
      <c r="E2" s="4"/>
      <c r="F2" s="4"/>
      <c r="G2" s="25"/>
      <c r="H2" s="1" t="s">
        <v>39</v>
      </c>
      <c r="I2" s="65">
        <v>30900</v>
      </c>
      <c r="J2" s="65">
        <f>C2</f>
        <v>15789</v>
      </c>
      <c r="K2" s="65">
        <f>I3</f>
        <v>2871</v>
      </c>
      <c r="L2" s="54">
        <f>J2*K2</f>
        <v>45330219</v>
      </c>
      <c r="O2" s="62" t="s">
        <v>35</v>
      </c>
      <c r="P2" s="63">
        <f>C33</f>
        <v>47861200</v>
      </c>
      <c r="R2" s="20">
        <f>P2*0.025/12</f>
        <v>99710.833333333328</v>
      </c>
      <c r="S2" s="18" t="s">
        <v>34</v>
      </c>
    </row>
    <row r="3" spans="1:19" x14ac:dyDescent="0.3">
      <c r="B3" s="24" t="s">
        <v>6</v>
      </c>
      <c r="C3" s="18">
        <v>0</v>
      </c>
      <c r="D3" s="15"/>
      <c r="E3" s="26"/>
      <c r="F3" s="26"/>
      <c r="G3" s="15"/>
      <c r="H3" s="1" t="s">
        <v>40</v>
      </c>
      <c r="I3" s="65">
        <f>MROUND(I2/10.764,1)</f>
        <v>2871</v>
      </c>
      <c r="J3" s="65"/>
      <c r="K3" s="54"/>
      <c r="L3" s="54">
        <f>N16</f>
        <v>40961988</v>
      </c>
      <c r="O3" s="62" t="s">
        <v>35</v>
      </c>
      <c r="P3" s="63">
        <f>C33</f>
        <v>47861200</v>
      </c>
      <c r="Q3" s="7"/>
      <c r="R3" s="20">
        <f>P3*0.04/12</f>
        <v>159537.33333333334</v>
      </c>
      <c r="S3" s="64" t="s">
        <v>36</v>
      </c>
    </row>
    <row r="4" spans="1:19" x14ac:dyDescent="0.3">
      <c r="B4" s="32" t="s">
        <v>18</v>
      </c>
      <c r="C4" s="54">
        <f>ROUND((C2*C3),0)</f>
        <v>0</v>
      </c>
      <c r="F4" s="22"/>
      <c r="G4" s="22"/>
      <c r="I4" s="54"/>
      <c r="J4" s="65"/>
      <c r="K4" s="54"/>
      <c r="L4" s="54">
        <f>SUM(L2:L3)</f>
        <v>86292207</v>
      </c>
      <c r="O4" s="62" t="s">
        <v>35</v>
      </c>
      <c r="P4" s="63">
        <f>C33</f>
        <v>47861200</v>
      </c>
      <c r="Q4" s="7"/>
      <c r="R4" s="20">
        <f>P4*0.033/12</f>
        <v>131618.30000000002</v>
      </c>
      <c r="S4" s="18" t="s">
        <v>37</v>
      </c>
    </row>
    <row r="5" spans="1:19" x14ac:dyDescent="0.3">
      <c r="B5" s="13" t="s">
        <v>14</v>
      </c>
    </row>
    <row r="6" spans="1:19" s="3" customFormat="1" ht="38.25" x14ac:dyDescent="0.2">
      <c r="A6" s="42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3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4" t="s">
        <v>26</v>
      </c>
      <c r="N6" s="5" t="s">
        <v>17</v>
      </c>
      <c r="O6" s="5" t="s">
        <v>42</v>
      </c>
    </row>
    <row r="7" spans="1:19" s="3" customFormat="1" ht="15" x14ac:dyDescent="0.2">
      <c r="A7" s="42"/>
      <c r="B7" s="4"/>
      <c r="C7" s="5" t="s">
        <v>43</v>
      </c>
      <c r="D7" s="4"/>
      <c r="E7" s="4"/>
      <c r="F7" s="4"/>
      <c r="G7" s="43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50">
        <v>1</v>
      </c>
      <c r="B8" s="47" t="s">
        <v>46</v>
      </c>
      <c r="C8" s="45">
        <v>14157</v>
      </c>
      <c r="D8" s="51">
        <v>2009</v>
      </c>
      <c r="E8" s="51">
        <v>2016</v>
      </c>
      <c r="F8" s="51">
        <v>50</v>
      </c>
      <c r="G8" s="55">
        <v>2000</v>
      </c>
      <c r="H8" s="56">
        <f t="shared" ref="H8:H15" si="0">E8-D8</f>
        <v>7</v>
      </c>
      <c r="I8" s="56">
        <f t="shared" ref="I8:I15" si="1">F8-H8</f>
        <v>43</v>
      </c>
      <c r="J8" s="56">
        <f t="shared" ref="J8:J15" si="2">IF(H8&gt;=5,90*H8/F8,0)</f>
        <v>12.6</v>
      </c>
      <c r="K8" s="56">
        <f t="shared" ref="K8:K15" si="3">G8/100*J8</f>
        <v>252</v>
      </c>
      <c r="L8" s="56">
        <f t="shared" ref="L8:L15" si="4">ROUND((G8-K8),0)</f>
        <v>1748</v>
      </c>
      <c r="M8" s="56">
        <f t="shared" ref="M8:M15" si="5">O8-N8</f>
        <v>3567564</v>
      </c>
      <c r="N8" s="56">
        <f t="shared" ref="N8:N15" si="6">ROUND((L8*C8),0)</f>
        <v>24746436</v>
      </c>
      <c r="O8" s="56">
        <f t="shared" ref="O8:O15" si="7">ROUND((C8*G8),0)</f>
        <v>28314000</v>
      </c>
    </row>
    <row r="9" spans="1:19" s="11" customFormat="1" x14ac:dyDescent="0.25">
      <c r="A9" s="52">
        <v>2</v>
      </c>
      <c r="B9" s="47" t="s">
        <v>47</v>
      </c>
      <c r="C9" s="45">
        <v>13248</v>
      </c>
      <c r="D9" s="51">
        <v>2009</v>
      </c>
      <c r="E9" s="51">
        <v>2016</v>
      </c>
      <c r="F9" s="51">
        <v>50</v>
      </c>
      <c r="G9" s="55">
        <v>1400</v>
      </c>
      <c r="H9" s="56">
        <f t="shared" si="0"/>
        <v>7</v>
      </c>
      <c r="I9" s="56">
        <f t="shared" si="1"/>
        <v>43</v>
      </c>
      <c r="J9" s="56">
        <f t="shared" si="2"/>
        <v>12.6</v>
      </c>
      <c r="K9" s="56">
        <f t="shared" si="3"/>
        <v>176.4</v>
      </c>
      <c r="L9" s="56">
        <f t="shared" si="4"/>
        <v>1224</v>
      </c>
      <c r="M9" s="56">
        <f t="shared" si="5"/>
        <v>2331648</v>
      </c>
      <c r="N9" s="56">
        <f t="shared" si="6"/>
        <v>16215552</v>
      </c>
      <c r="O9" s="56">
        <f t="shared" si="7"/>
        <v>18547200</v>
      </c>
    </row>
    <row r="10" spans="1:19" s="11" customFormat="1" ht="17.25" customHeight="1" x14ac:dyDescent="0.25">
      <c r="A10" s="50">
        <v>3</v>
      </c>
      <c r="B10" s="47" t="s">
        <v>48</v>
      </c>
      <c r="C10" s="45">
        <v>13248</v>
      </c>
      <c r="D10" s="51">
        <v>2009</v>
      </c>
      <c r="E10" s="51">
        <v>2016</v>
      </c>
      <c r="F10" s="51">
        <v>50</v>
      </c>
      <c r="G10" s="55">
        <v>0</v>
      </c>
      <c r="H10" s="56">
        <f t="shared" si="0"/>
        <v>7</v>
      </c>
      <c r="I10" s="56">
        <f t="shared" si="1"/>
        <v>43</v>
      </c>
      <c r="J10" s="56">
        <f t="shared" si="2"/>
        <v>12.6</v>
      </c>
      <c r="K10" s="56">
        <f t="shared" si="3"/>
        <v>0</v>
      </c>
      <c r="L10" s="56">
        <f t="shared" si="4"/>
        <v>0</v>
      </c>
      <c r="M10" s="56">
        <f t="shared" si="5"/>
        <v>0</v>
      </c>
      <c r="N10" s="56">
        <f t="shared" si="6"/>
        <v>0</v>
      </c>
      <c r="O10" s="56">
        <f t="shared" si="7"/>
        <v>0</v>
      </c>
    </row>
    <row r="11" spans="1:19" s="11" customFormat="1" x14ac:dyDescent="0.25">
      <c r="A11" s="52">
        <v>4</v>
      </c>
      <c r="B11" s="47"/>
      <c r="C11" s="45">
        <v>0</v>
      </c>
      <c r="D11" s="51">
        <v>0</v>
      </c>
      <c r="E11" s="51">
        <v>0</v>
      </c>
      <c r="F11" s="51">
        <v>60</v>
      </c>
      <c r="G11" s="55">
        <v>0</v>
      </c>
      <c r="H11" s="56">
        <f t="shared" si="0"/>
        <v>0</v>
      </c>
      <c r="I11" s="56">
        <f t="shared" si="1"/>
        <v>60</v>
      </c>
      <c r="J11" s="56">
        <f t="shared" si="2"/>
        <v>0</v>
      </c>
      <c r="K11" s="56">
        <f t="shared" si="3"/>
        <v>0</v>
      </c>
      <c r="L11" s="56">
        <f t="shared" si="4"/>
        <v>0</v>
      </c>
      <c r="M11" s="56">
        <f t="shared" si="5"/>
        <v>0</v>
      </c>
      <c r="N11" s="56">
        <f t="shared" si="6"/>
        <v>0</v>
      </c>
      <c r="O11" s="56">
        <f t="shared" si="7"/>
        <v>0</v>
      </c>
    </row>
    <row r="12" spans="1:19" s="11" customFormat="1" x14ac:dyDescent="0.25">
      <c r="A12" s="50">
        <v>5</v>
      </c>
      <c r="B12" s="47"/>
      <c r="C12" s="45">
        <v>0</v>
      </c>
      <c r="D12" s="51">
        <v>0</v>
      </c>
      <c r="E12" s="51">
        <v>0</v>
      </c>
      <c r="F12" s="51">
        <v>60</v>
      </c>
      <c r="G12" s="55">
        <v>0</v>
      </c>
      <c r="H12" s="56">
        <f t="shared" si="0"/>
        <v>0</v>
      </c>
      <c r="I12" s="56">
        <f t="shared" si="1"/>
        <v>60</v>
      </c>
      <c r="J12" s="56">
        <f t="shared" si="2"/>
        <v>0</v>
      </c>
      <c r="K12" s="56">
        <f t="shared" si="3"/>
        <v>0</v>
      </c>
      <c r="L12" s="56">
        <f t="shared" si="4"/>
        <v>0</v>
      </c>
      <c r="M12" s="56">
        <f t="shared" si="5"/>
        <v>0</v>
      </c>
      <c r="N12" s="56">
        <f t="shared" si="6"/>
        <v>0</v>
      </c>
      <c r="O12" s="56">
        <f t="shared" si="7"/>
        <v>0</v>
      </c>
    </row>
    <row r="13" spans="1:19" x14ac:dyDescent="0.3">
      <c r="A13" s="46">
        <v>6</v>
      </c>
      <c r="B13" s="47"/>
      <c r="C13" s="45">
        <v>0</v>
      </c>
      <c r="D13" s="33">
        <v>0</v>
      </c>
      <c r="E13" s="33">
        <v>0</v>
      </c>
      <c r="F13" s="33">
        <v>60</v>
      </c>
      <c r="G13" s="57">
        <v>0</v>
      </c>
      <c r="H13" s="56">
        <f t="shared" si="0"/>
        <v>0</v>
      </c>
      <c r="I13" s="56">
        <f t="shared" si="1"/>
        <v>60</v>
      </c>
      <c r="J13" s="56">
        <f t="shared" si="2"/>
        <v>0</v>
      </c>
      <c r="K13" s="56">
        <f t="shared" si="3"/>
        <v>0</v>
      </c>
      <c r="L13" s="56">
        <f t="shared" si="4"/>
        <v>0</v>
      </c>
      <c r="M13" s="58">
        <f t="shared" si="5"/>
        <v>0</v>
      </c>
      <c r="N13" s="56">
        <f t="shared" si="6"/>
        <v>0</v>
      </c>
      <c r="O13" s="56">
        <f t="shared" si="7"/>
        <v>0</v>
      </c>
    </row>
    <row r="14" spans="1:19" x14ac:dyDescent="0.3">
      <c r="A14" s="24">
        <v>7</v>
      </c>
      <c r="B14" s="47"/>
      <c r="C14" s="45">
        <v>0</v>
      </c>
      <c r="D14" s="33">
        <v>0</v>
      </c>
      <c r="E14" s="33">
        <v>0</v>
      </c>
      <c r="F14" s="33">
        <v>60</v>
      </c>
      <c r="G14" s="57">
        <v>0</v>
      </c>
      <c r="H14" s="56">
        <f t="shared" si="0"/>
        <v>0</v>
      </c>
      <c r="I14" s="56">
        <f t="shared" si="1"/>
        <v>60</v>
      </c>
      <c r="J14" s="56">
        <f t="shared" si="2"/>
        <v>0</v>
      </c>
      <c r="K14" s="56">
        <f t="shared" si="3"/>
        <v>0</v>
      </c>
      <c r="L14" s="56">
        <f t="shared" si="4"/>
        <v>0</v>
      </c>
      <c r="M14" s="58">
        <f t="shared" si="5"/>
        <v>0</v>
      </c>
      <c r="N14" s="56">
        <f t="shared" si="6"/>
        <v>0</v>
      </c>
      <c r="O14" s="56">
        <f t="shared" si="7"/>
        <v>0</v>
      </c>
    </row>
    <row r="15" spans="1:19" x14ac:dyDescent="0.3">
      <c r="A15" s="46">
        <v>8</v>
      </c>
      <c r="B15" s="47"/>
      <c r="C15" s="45">
        <v>0</v>
      </c>
      <c r="D15" s="33">
        <v>0</v>
      </c>
      <c r="E15" s="33">
        <v>0</v>
      </c>
      <c r="F15" s="33">
        <v>60</v>
      </c>
      <c r="G15" s="57">
        <v>0</v>
      </c>
      <c r="H15" s="56">
        <f t="shared" si="0"/>
        <v>0</v>
      </c>
      <c r="I15" s="56">
        <f t="shared" si="1"/>
        <v>60</v>
      </c>
      <c r="J15" s="56">
        <f t="shared" si="2"/>
        <v>0</v>
      </c>
      <c r="K15" s="56">
        <f t="shared" si="3"/>
        <v>0</v>
      </c>
      <c r="L15" s="56">
        <f t="shared" si="4"/>
        <v>0</v>
      </c>
      <c r="M15" s="58">
        <f t="shared" si="5"/>
        <v>0</v>
      </c>
      <c r="N15" s="56">
        <f t="shared" si="6"/>
        <v>0</v>
      </c>
      <c r="O15" s="56">
        <f t="shared" si="7"/>
        <v>0</v>
      </c>
    </row>
    <row r="16" spans="1:19" x14ac:dyDescent="0.3">
      <c r="A16" s="24"/>
      <c r="B16" s="48"/>
      <c r="C16" s="49"/>
      <c r="D16" s="49"/>
      <c r="E16" s="49"/>
      <c r="F16" s="6"/>
      <c r="G16" s="56"/>
      <c r="H16" s="56"/>
      <c r="I16" s="56"/>
      <c r="J16" s="59"/>
      <c r="K16" s="56"/>
      <c r="L16" s="59"/>
      <c r="M16" s="56">
        <f>SUM(M8:M15)</f>
        <v>5899212</v>
      </c>
      <c r="N16" s="56">
        <f>SUM(N8:N15)</f>
        <v>40961988</v>
      </c>
      <c r="O16" s="56">
        <f>SUM(O8:O15)</f>
        <v>46861200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6"/>
      <c r="L17" s="17"/>
      <c r="M17" s="12"/>
      <c r="N17" s="27"/>
      <c r="O17" s="27"/>
    </row>
    <row r="18" spans="1:15" x14ac:dyDescent="0.3">
      <c r="B18" s="106" t="s">
        <v>20</v>
      </c>
      <c r="C18" s="106"/>
      <c r="D18" s="11"/>
      <c r="E18" s="11"/>
      <c r="F18" s="12"/>
      <c r="G18" s="12"/>
      <c r="H18" s="12"/>
      <c r="I18" s="12"/>
      <c r="J18" s="11"/>
      <c r="K18" s="16"/>
      <c r="L18" s="17"/>
      <c r="M18" s="12"/>
      <c r="N18" s="27"/>
      <c r="O18" s="27"/>
    </row>
    <row r="19" spans="1:15" x14ac:dyDescent="0.3">
      <c r="B19" s="23" t="s">
        <v>19</v>
      </c>
      <c r="C19" s="60">
        <v>0</v>
      </c>
      <c r="D19" s="11"/>
      <c r="E19" s="11"/>
      <c r="F19" s="12"/>
      <c r="G19" s="12"/>
      <c r="H19" s="12"/>
      <c r="I19" s="12"/>
      <c r="J19" s="11"/>
      <c r="K19" s="16"/>
      <c r="L19" s="17"/>
      <c r="M19" s="12"/>
      <c r="N19" s="27"/>
      <c r="O19" s="27"/>
    </row>
    <row r="20" spans="1:15" x14ac:dyDescent="0.3">
      <c r="B20" s="24" t="s">
        <v>6</v>
      </c>
      <c r="C20" s="53">
        <v>0</v>
      </c>
      <c r="D20" s="11"/>
      <c r="E20" s="11"/>
      <c r="F20" s="12"/>
      <c r="G20" s="12"/>
      <c r="H20" s="12"/>
      <c r="I20" s="12"/>
      <c r="J20" s="11"/>
      <c r="K20" s="16"/>
      <c r="L20" s="17"/>
      <c r="M20" s="12"/>
      <c r="N20" s="27"/>
      <c r="O20" s="27"/>
    </row>
    <row r="21" spans="1:15" x14ac:dyDescent="0.3">
      <c r="B21" s="24" t="s">
        <v>7</v>
      </c>
      <c r="C21" s="58">
        <f>ROUND((C19*C20),0)</f>
        <v>0</v>
      </c>
      <c r="D21" s="11"/>
      <c r="E21" s="11"/>
      <c r="F21" s="12"/>
      <c r="G21" s="12"/>
      <c r="H21" s="12"/>
      <c r="I21" s="12"/>
      <c r="J21" s="11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/>
      <c r="I22" s="12"/>
      <c r="J22" s="11"/>
      <c r="K22" s="16"/>
      <c r="L22" s="17"/>
      <c r="M22" s="12"/>
      <c r="N22" s="27"/>
      <c r="O22" s="27"/>
    </row>
    <row r="23" spans="1:15" ht="22.5" customHeight="1" x14ac:dyDescent="0.3">
      <c r="B23" s="107" t="s">
        <v>15</v>
      </c>
      <c r="C23" s="108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23" t="s">
        <v>11</v>
      </c>
      <c r="C24" s="60">
        <v>1</v>
      </c>
      <c r="E24" s="28"/>
      <c r="F24" s="28"/>
      <c r="G24" s="29"/>
      <c r="H24" s="14"/>
      <c r="I24" s="14"/>
      <c r="L24" s="21"/>
    </row>
    <row r="25" spans="1:15" x14ac:dyDescent="0.3">
      <c r="B25" s="24" t="s">
        <v>6</v>
      </c>
      <c r="C25" s="53">
        <v>1000000</v>
      </c>
      <c r="D25" s="30"/>
      <c r="E25" s="22"/>
      <c r="F25" s="22"/>
      <c r="G25" s="16"/>
      <c r="H25" s="14"/>
      <c r="I25" s="14"/>
      <c r="L25" s="21"/>
    </row>
    <row r="26" spans="1:15" x14ac:dyDescent="0.3">
      <c r="B26" s="24" t="s">
        <v>7</v>
      </c>
      <c r="C26" s="58">
        <f>ROUND((C24*C25),0)</f>
        <v>1000000</v>
      </c>
      <c r="D26" s="9"/>
      <c r="E26" s="9"/>
      <c r="F26" s="21"/>
      <c r="H26" s="14"/>
      <c r="I26" s="14"/>
      <c r="L26" s="21"/>
    </row>
    <row r="27" spans="1:15" x14ac:dyDescent="0.3">
      <c r="B27" s="41"/>
      <c r="C27" s="19"/>
      <c r="D27" s="9"/>
      <c r="E27" s="9"/>
      <c r="F27" s="21"/>
      <c r="H27" s="14"/>
      <c r="I27" s="14"/>
      <c r="L27" s="21"/>
    </row>
    <row r="28" spans="1:15" x14ac:dyDescent="0.3">
      <c r="C28" s="9" t="s">
        <v>22</v>
      </c>
      <c r="D28" s="9"/>
      <c r="E28" s="9"/>
      <c r="F28" s="21"/>
      <c r="H28" s="14"/>
      <c r="I28" s="14"/>
      <c r="J28" s="1">
        <v>15789</v>
      </c>
      <c r="K28" s="22" t="s">
        <v>45</v>
      </c>
      <c r="L28" s="21">
        <f>J28/10.764</f>
        <v>1466.8338907469342</v>
      </c>
    </row>
    <row r="29" spans="1:15" x14ac:dyDescent="0.3">
      <c r="B29" s="2" t="s">
        <v>13</v>
      </c>
      <c r="C29" s="54">
        <f>C4</f>
        <v>0</v>
      </c>
      <c r="D29" s="19"/>
      <c r="E29" s="19"/>
      <c r="F29" s="19"/>
      <c r="G29" s="19"/>
      <c r="H29" s="20"/>
      <c r="I29" s="20"/>
      <c r="L29" s="18"/>
    </row>
    <row r="30" spans="1:15" x14ac:dyDescent="0.3">
      <c r="B30" s="2" t="s">
        <v>14</v>
      </c>
      <c r="C30" s="54">
        <f>O16</f>
        <v>46861200</v>
      </c>
      <c r="D30" s="19"/>
      <c r="E30" s="19"/>
      <c r="F30" s="19"/>
      <c r="G30" s="19"/>
      <c r="H30" s="20"/>
      <c r="I30" s="20"/>
      <c r="L30" s="20"/>
    </row>
    <row r="31" spans="1:15" x14ac:dyDescent="0.3">
      <c r="B31" s="2" t="s">
        <v>21</v>
      </c>
      <c r="C31" s="54">
        <f>C21</f>
        <v>0</v>
      </c>
      <c r="D31" s="19"/>
      <c r="E31" s="19"/>
      <c r="F31" s="19"/>
      <c r="G31" s="19"/>
      <c r="H31" s="20"/>
      <c r="I31" s="20"/>
      <c r="L31" s="20"/>
    </row>
    <row r="32" spans="1:15" x14ac:dyDescent="0.3">
      <c r="A32" s="1"/>
      <c r="B32" s="2" t="s">
        <v>12</v>
      </c>
      <c r="C32" s="54">
        <f>C26</f>
        <v>1000000</v>
      </c>
      <c r="D32" s="19"/>
      <c r="E32" s="19"/>
      <c r="F32" s="19"/>
      <c r="G32" s="19"/>
      <c r="H32" s="20"/>
      <c r="I32" s="20"/>
      <c r="L32" s="20"/>
    </row>
    <row r="33" spans="1:15" x14ac:dyDescent="0.3">
      <c r="A33" s="1"/>
      <c r="B33" s="13" t="s">
        <v>8</v>
      </c>
      <c r="C33" s="61">
        <f>C29+C30+C31+C32</f>
        <v>47861200</v>
      </c>
      <c r="D33" s="18"/>
      <c r="F33" s="18"/>
    </row>
    <row r="34" spans="1:15" x14ac:dyDescent="0.3">
      <c r="A34" s="1"/>
      <c r="B34" s="13" t="s">
        <v>9</v>
      </c>
      <c r="C34" s="61">
        <f>MROUND(C33*90%,1)</f>
        <v>43075080</v>
      </c>
      <c r="D34" s="20"/>
      <c r="F34" s="18"/>
      <c r="H34" s="34"/>
      <c r="I34" s="34"/>
    </row>
    <row r="35" spans="1:15" x14ac:dyDescent="0.3">
      <c r="A35" s="1"/>
      <c r="B35" s="13" t="s">
        <v>10</v>
      </c>
      <c r="C35" s="61">
        <f>MROUND(C33*80%,1)</f>
        <v>38288960</v>
      </c>
      <c r="D35" s="20"/>
      <c r="F35" s="18"/>
      <c r="H35" s="34"/>
      <c r="I35" s="34"/>
    </row>
    <row r="36" spans="1:15" x14ac:dyDescent="0.3">
      <c r="A36" s="1"/>
      <c r="B36" s="2" t="s">
        <v>24</v>
      </c>
      <c r="C36" s="54">
        <f>O16</f>
        <v>46861200</v>
      </c>
      <c r="D36" s="31"/>
      <c r="O36" s="35"/>
    </row>
    <row r="37" spans="1:15" x14ac:dyDescent="0.3">
      <c r="A37" s="1"/>
      <c r="B37" s="13" t="s">
        <v>41</v>
      </c>
      <c r="C37" s="62">
        <f>MROUND(C36*0.85,1)</f>
        <v>39832020</v>
      </c>
      <c r="O37" s="35"/>
    </row>
    <row r="38" spans="1:15" x14ac:dyDescent="0.3">
      <c r="A38" s="1"/>
      <c r="O38" s="35"/>
    </row>
    <row r="39" spans="1:15" x14ac:dyDescent="0.3">
      <c r="A39" s="1"/>
      <c r="L39" s="36"/>
      <c r="O39" s="35"/>
    </row>
    <row r="40" spans="1:15" x14ac:dyDescent="0.3">
      <c r="A40" s="1"/>
      <c r="L40" s="36"/>
      <c r="O40" s="35"/>
    </row>
    <row r="41" spans="1:15" x14ac:dyDescent="0.3">
      <c r="A41" s="1"/>
      <c r="H41" s="34"/>
      <c r="I41" s="34"/>
      <c r="L41" s="36"/>
      <c r="O41" s="35"/>
    </row>
    <row r="42" spans="1:15" x14ac:dyDescent="0.3">
      <c r="A42" s="1"/>
      <c r="L42" s="36"/>
      <c r="O42" s="35"/>
    </row>
    <row r="43" spans="1:15" x14ac:dyDescent="0.3">
      <c r="A43" s="1"/>
      <c r="L43" s="36"/>
      <c r="O43" s="35"/>
    </row>
    <row r="44" spans="1:15" x14ac:dyDescent="0.3">
      <c r="A44" s="1"/>
      <c r="L44" s="36"/>
      <c r="O44" s="35"/>
    </row>
    <row r="45" spans="1:15" x14ac:dyDescent="0.3">
      <c r="A45" s="1"/>
      <c r="L45" s="36"/>
      <c r="O45" s="35"/>
    </row>
    <row r="46" spans="1:15" x14ac:dyDescent="0.3">
      <c r="A46" s="1"/>
    </row>
    <row r="47" spans="1:15" x14ac:dyDescent="0.3">
      <c r="A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</row>
    <row r="57" spans="1:10" x14ac:dyDescent="0.3">
      <c r="A57" s="1"/>
      <c r="B57" s="1"/>
      <c r="F57" s="37"/>
      <c r="G57" s="37"/>
      <c r="H57" s="37"/>
      <c r="I57" s="37"/>
      <c r="J57" s="13"/>
    </row>
    <row r="58" spans="1:10" x14ac:dyDescent="0.3">
      <c r="A58" s="1"/>
      <c r="B58" s="1"/>
      <c r="F58" s="35"/>
      <c r="G58" s="1"/>
      <c r="H58" s="35"/>
      <c r="I58" s="35"/>
    </row>
    <row r="59" spans="1:10" x14ac:dyDescent="0.3">
      <c r="A59" s="1"/>
      <c r="B59" s="1"/>
      <c r="F59" s="35"/>
      <c r="G59" s="35"/>
      <c r="H59" s="38"/>
      <c r="I59" s="38"/>
    </row>
    <row r="60" spans="1:10" x14ac:dyDescent="0.3">
      <c r="A60" s="1"/>
      <c r="B60" s="1"/>
      <c r="F60" s="35"/>
      <c r="G60" s="35"/>
      <c r="H60" s="35"/>
      <c r="I60" s="35"/>
    </row>
    <row r="61" spans="1:10" x14ac:dyDescent="0.3">
      <c r="A61" s="1"/>
      <c r="B61" s="1"/>
      <c r="F61" s="35"/>
      <c r="G61" s="39"/>
      <c r="H61" s="35"/>
      <c r="I61" s="35"/>
    </row>
    <row r="62" spans="1:10" x14ac:dyDescent="0.3">
      <c r="A62" s="1"/>
      <c r="B62" s="1"/>
      <c r="F62" s="35"/>
      <c r="G62" s="35"/>
      <c r="H62" s="35"/>
      <c r="I62" s="35"/>
    </row>
    <row r="63" spans="1:10" x14ac:dyDescent="0.3">
      <c r="A63" s="1"/>
      <c r="B63" s="1"/>
      <c r="F63" s="35"/>
      <c r="G63" s="35"/>
      <c r="H63" s="35"/>
      <c r="I63" s="35"/>
    </row>
    <row r="64" spans="1:10" x14ac:dyDescent="0.3">
      <c r="A64" s="1"/>
      <c r="B64" s="1"/>
      <c r="F64" s="35"/>
      <c r="G64" s="35"/>
      <c r="H64" s="35"/>
      <c r="I64" s="35"/>
    </row>
    <row r="65" spans="1:9" x14ac:dyDescent="0.3">
      <c r="A65" s="1"/>
      <c r="B65" s="1"/>
      <c r="F65" s="35"/>
      <c r="G65" s="35"/>
      <c r="H65" s="35"/>
      <c r="I65" s="35"/>
    </row>
    <row r="66" spans="1:9" x14ac:dyDescent="0.3">
      <c r="A66" s="1"/>
      <c r="B66" s="1"/>
      <c r="F66" s="35"/>
      <c r="G66" s="35"/>
      <c r="H66" s="35"/>
      <c r="I66" s="35"/>
    </row>
    <row r="67" spans="1:9" x14ac:dyDescent="0.3">
      <c r="A67" s="1"/>
      <c r="B67" s="1"/>
      <c r="F67" s="35"/>
      <c r="G67" s="35"/>
      <c r="H67" s="35"/>
      <c r="I67" s="35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</row>
    <row r="73" spans="1:9" x14ac:dyDescent="0.3">
      <c r="A73" s="1"/>
      <c r="B73" s="1"/>
      <c r="F73" s="40"/>
    </row>
    <row r="74" spans="1:9" x14ac:dyDescent="0.3">
      <c r="A74" s="1"/>
      <c r="B74" s="1"/>
      <c r="F74" s="40"/>
    </row>
    <row r="75" spans="1:9" x14ac:dyDescent="0.3">
      <c r="A75" s="1"/>
      <c r="B75" s="1"/>
      <c r="F75" s="40"/>
    </row>
    <row r="76" spans="1:9" x14ac:dyDescent="0.3">
      <c r="A76" s="1"/>
      <c r="B76" s="1"/>
      <c r="F76" s="40"/>
    </row>
    <row r="77" spans="1:9" x14ac:dyDescent="0.3">
      <c r="A77" s="1"/>
      <c r="B77" s="1"/>
      <c r="F77" s="40"/>
    </row>
    <row r="78" spans="1:9" x14ac:dyDescent="0.3">
      <c r="A78" s="1"/>
      <c r="B78" s="1"/>
      <c r="F78" s="40"/>
    </row>
    <row r="79" spans="1:9" x14ac:dyDescent="0.3">
      <c r="A79" s="1"/>
      <c r="B79" s="1"/>
      <c r="F79" s="40"/>
    </row>
    <row r="80" spans="1:9" x14ac:dyDescent="0.3">
      <c r="A80" s="1"/>
      <c r="B80" s="1"/>
      <c r="F80" s="40"/>
    </row>
    <row r="81" spans="1:6" x14ac:dyDescent="0.3">
      <c r="A81" s="1"/>
      <c r="B81" s="1"/>
      <c r="F81" s="40"/>
    </row>
    <row r="82" spans="1:6" x14ac:dyDescent="0.3">
      <c r="A82" s="1"/>
      <c r="B82" s="1"/>
      <c r="F82" s="40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</sheetData>
  <mergeCells count="2">
    <mergeCell ref="B18:C18"/>
    <mergeCell ref="B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4E30-57ED-4C66-AAA4-5228329AED56}">
  <dimension ref="A1:AA27"/>
  <sheetViews>
    <sheetView workbookViewId="0">
      <selection activeCell="J12" sqref="J12"/>
    </sheetView>
  </sheetViews>
  <sheetFormatPr defaultRowHeight="15" x14ac:dyDescent="0.25"/>
  <cols>
    <col min="1" max="1" width="11.28515625" style="74" bestFit="1" customWidth="1"/>
    <col min="2" max="2" width="13.42578125" style="74" bestFit="1" customWidth="1"/>
    <col min="3" max="3" width="12.5703125" style="74" customWidth="1"/>
    <col min="4" max="4" width="11.28515625" style="74" bestFit="1" customWidth="1"/>
    <col min="5" max="6" width="9.28515625" style="74" bestFit="1" customWidth="1"/>
    <col min="7" max="7" width="13.28515625" style="74" customWidth="1"/>
    <col min="8" max="8" width="15.5703125" style="74" customWidth="1"/>
    <col min="9" max="9" width="12.7109375" style="74" customWidth="1"/>
    <col min="10" max="12" width="11.7109375" style="74" customWidth="1"/>
    <col min="13" max="13" width="9.28515625" style="74" bestFit="1" customWidth="1"/>
    <col min="14" max="14" width="11.7109375" style="74" customWidth="1"/>
    <col min="15" max="16" width="9.28515625" style="74" bestFit="1" customWidth="1"/>
    <col min="17" max="17" width="10.7109375" style="74" bestFit="1" customWidth="1"/>
    <col min="18" max="18" width="11.85546875" style="74" bestFit="1" customWidth="1"/>
    <col min="19" max="19" width="13.42578125" style="74" bestFit="1" customWidth="1"/>
    <col min="20" max="20" width="10.7109375" style="74" bestFit="1" customWidth="1"/>
    <col min="21" max="21" width="13.5703125" style="74" customWidth="1"/>
    <col min="22" max="22" width="13.42578125" style="74" customWidth="1"/>
    <col min="23" max="23" width="21" style="74" bestFit="1" customWidth="1"/>
    <col min="24" max="24" width="14.140625" style="74" customWidth="1"/>
    <col min="25" max="25" width="9.7109375" style="74" bestFit="1" customWidth="1"/>
    <col min="26" max="26" width="19.85546875" style="74" bestFit="1" customWidth="1"/>
    <col min="27" max="16384" width="9.140625" style="74"/>
  </cols>
  <sheetData>
    <row r="1" spans="1:27" s="71" customFormat="1" ht="105" x14ac:dyDescent="0.25">
      <c r="A1" s="70" t="s">
        <v>70</v>
      </c>
      <c r="B1" s="70" t="s">
        <v>7</v>
      </c>
      <c r="C1" s="70" t="s">
        <v>71</v>
      </c>
      <c r="D1" s="70" t="s">
        <v>72</v>
      </c>
      <c r="E1" s="70" t="str">
        <f t="shared" ref="E1:K16" si="0">U1</f>
        <v>Construction Area</v>
      </c>
      <c r="F1" s="70" t="str">
        <f t="shared" si="0"/>
        <v>Cost of Construction</v>
      </c>
      <c r="G1" s="70" t="str">
        <f t="shared" si="0"/>
        <v>Construction value</v>
      </c>
      <c r="H1" s="70" t="str">
        <f t="shared" si="0"/>
        <v>Land Value (Including Land development)</v>
      </c>
      <c r="I1" s="70" t="str">
        <f t="shared" si="0"/>
        <v>Land Rate (Including Development) per Sq. M.</v>
      </c>
      <c r="J1" s="70" t="str">
        <f>Z1</f>
        <v>Location</v>
      </c>
      <c r="K1" s="70" t="str">
        <f>AA1</f>
        <v>Distance</v>
      </c>
      <c r="L1" s="70"/>
      <c r="M1" s="71" t="s">
        <v>73</v>
      </c>
      <c r="N1" s="71" t="s">
        <v>74</v>
      </c>
      <c r="O1" s="71" t="s">
        <v>75</v>
      </c>
      <c r="P1" s="71" t="s">
        <v>76</v>
      </c>
      <c r="Q1" s="71" t="s">
        <v>77</v>
      </c>
      <c r="R1" s="71" t="s">
        <v>78</v>
      </c>
      <c r="S1" s="71" t="s">
        <v>7</v>
      </c>
      <c r="T1" s="71" t="s">
        <v>6</v>
      </c>
      <c r="U1" s="72" t="s">
        <v>79</v>
      </c>
      <c r="V1" s="72" t="s">
        <v>80</v>
      </c>
      <c r="W1" s="71" t="s">
        <v>81</v>
      </c>
      <c r="X1" s="71" t="s">
        <v>82</v>
      </c>
      <c r="Y1" s="71" t="s">
        <v>83</v>
      </c>
      <c r="Z1" s="71" t="s">
        <v>84</v>
      </c>
      <c r="AA1" s="71" t="s">
        <v>85</v>
      </c>
    </row>
    <row r="2" spans="1:27" x14ac:dyDescent="0.25">
      <c r="A2" s="73">
        <f t="shared" ref="A2:C17" si="1">R2</f>
        <v>101.16996386208911</v>
      </c>
      <c r="B2" s="73">
        <f t="shared" si="1"/>
        <v>7000000</v>
      </c>
      <c r="C2" s="73">
        <f t="shared" si="1"/>
        <v>69190</v>
      </c>
      <c r="D2" s="73">
        <f t="shared" ref="D2:D18" si="2">ROUND((C2/10.764),0)</f>
        <v>6428</v>
      </c>
      <c r="E2" s="70">
        <f t="shared" si="0"/>
        <v>0</v>
      </c>
      <c r="F2" s="70">
        <f t="shared" si="0"/>
        <v>0</v>
      </c>
      <c r="G2" s="70">
        <f t="shared" si="0"/>
        <v>0</v>
      </c>
      <c r="H2" s="70">
        <f t="shared" si="0"/>
        <v>7000000</v>
      </c>
      <c r="I2" s="70">
        <f t="shared" si="0"/>
        <v>69190.496198477675</v>
      </c>
      <c r="J2" s="70">
        <f t="shared" si="0"/>
        <v>0</v>
      </c>
      <c r="K2" s="70">
        <f t="shared" si="0"/>
        <v>0</v>
      </c>
      <c r="L2" s="70"/>
      <c r="M2" s="74">
        <v>0</v>
      </c>
      <c r="N2" s="74">
        <f t="shared" ref="N2:N18" si="3">M2*2.47107605477881</f>
        <v>0</v>
      </c>
      <c r="O2" s="74">
        <v>1</v>
      </c>
      <c r="P2" s="74">
        <f t="shared" ref="P2:P18" si="4">O2*121.0167464</f>
        <v>121.0167464</v>
      </c>
      <c r="Q2" s="74">
        <f t="shared" ref="Q2:Q18" si="5">P2*8.99870078651798</f>
        <v>1088.9934910115271</v>
      </c>
      <c r="R2" s="74">
        <f t="shared" ref="R2:R18" si="6">Q2/10.764</f>
        <v>101.16996386208911</v>
      </c>
      <c r="S2" s="74">
        <v>7000000</v>
      </c>
      <c r="T2" s="74">
        <f t="shared" ref="T2:T18" si="7">ROUND((S2/R2),0)</f>
        <v>69190</v>
      </c>
      <c r="U2" s="73">
        <v>0</v>
      </c>
      <c r="V2" s="74">
        <v>0</v>
      </c>
      <c r="W2" s="74">
        <f t="shared" ref="W2:W18" si="8">U2*V2</f>
        <v>0</v>
      </c>
      <c r="X2" s="74">
        <f t="shared" ref="X2:X18" si="9">S2-W2</f>
        <v>7000000</v>
      </c>
      <c r="Y2" s="74">
        <f t="shared" ref="Y2:Y18" si="10">X2/R2</f>
        <v>69190.496198477675</v>
      </c>
    </row>
    <row r="3" spans="1:27" x14ac:dyDescent="0.25">
      <c r="A3" s="73">
        <f t="shared" si="1"/>
        <v>101.16996386208911</v>
      </c>
      <c r="B3" s="73">
        <f t="shared" si="1"/>
        <v>9000000</v>
      </c>
      <c r="C3" s="73">
        <f t="shared" si="1"/>
        <v>88959</v>
      </c>
      <c r="D3" s="73">
        <f t="shared" si="2"/>
        <v>8264</v>
      </c>
      <c r="E3" s="70">
        <f t="shared" si="0"/>
        <v>0</v>
      </c>
      <c r="F3" s="70">
        <f t="shared" si="0"/>
        <v>0</v>
      </c>
      <c r="G3" s="70">
        <f t="shared" si="0"/>
        <v>0</v>
      </c>
      <c r="H3" s="70">
        <f t="shared" si="0"/>
        <v>9000000</v>
      </c>
      <c r="I3" s="70">
        <f t="shared" si="0"/>
        <v>88959.209398042731</v>
      </c>
      <c r="J3" s="70">
        <f t="shared" si="0"/>
        <v>0</v>
      </c>
      <c r="K3" s="70">
        <f t="shared" si="0"/>
        <v>0</v>
      </c>
      <c r="L3" s="70"/>
      <c r="M3" s="74">
        <v>0</v>
      </c>
      <c r="N3" s="74">
        <f t="shared" si="3"/>
        <v>0</v>
      </c>
      <c r="O3" s="74">
        <v>1</v>
      </c>
      <c r="P3" s="74">
        <f t="shared" si="4"/>
        <v>121.0167464</v>
      </c>
      <c r="Q3" s="74">
        <f t="shared" si="5"/>
        <v>1088.9934910115271</v>
      </c>
      <c r="R3" s="74">
        <f t="shared" si="6"/>
        <v>101.16996386208911</v>
      </c>
      <c r="S3" s="74">
        <v>9000000</v>
      </c>
      <c r="T3" s="74">
        <f t="shared" si="7"/>
        <v>88959</v>
      </c>
      <c r="U3" s="73">
        <v>0</v>
      </c>
      <c r="V3" s="74">
        <v>0</v>
      </c>
      <c r="W3" s="74">
        <f t="shared" si="8"/>
        <v>0</v>
      </c>
      <c r="X3" s="74">
        <f t="shared" si="9"/>
        <v>9000000</v>
      </c>
      <c r="Y3" s="74">
        <f t="shared" si="10"/>
        <v>88959.209398042731</v>
      </c>
    </row>
    <row r="4" spans="1:27" x14ac:dyDescent="0.25">
      <c r="A4" s="73">
        <f t="shared" si="1"/>
        <v>0</v>
      </c>
      <c r="B4" s="73">
        <f t="shared" si="1"/>
        <v>0</v>
      </c>
      <c r="C4" s="73" t="e">
        <f t="shared" si="1"/>
        <v>#DIV/0!</v>
      </c>
      <c r="D4" s="73" t="e">
        <f t="shared" si="2"/>
        <v>#DIV/0!</v>
      </c>
      <c r="E4" s="70">
        <f t="shared" si="0"/>
        <v>0</v>
      </c>
      <c r="F4" s="70">
        <f t="shared" si="0"/>
        <v>0</v>
      </c>
      <c r="G4" s="70">
        <f t="shared" si="0"/>
        <v>0</v>
      </c>
      <c r="H4" s="70">
        <f t="shared" si="0"/>
        <v>0</v>
      </c>
      <c r="I4" s="70" t="e">
        <f t="shared" si="0"/>
        <v>#DIV/0!</v>
      </c>
      <c r="J4" s="70">
        <f t="shared" si="0"/>
        <v>0</v>
      </c>
      <c r="K4" s="70">
        <f t="shared" si="0"/>
        <v>0</v>
      </c>
      <c r="L4" s="70"/>
      <c r="M4" s="74">
        <v>0</v>
      </c>
      <c r="N4" s="74">
        <f t="shared" si="3"/>
        <v>0</v>
      </c>
      <c r="O4" s="74">
        <f t="shared" ref="O4:O18" si="11">N4*40.0001976870614</f>
        <v>0</v>
      </c>
      <c r="P4" s="74">
        <f t="shared" si="4"/>
        <v>0</v>
      </c>
      <c r="Q4" s="74">
        <f t="shared" si="5"/>
        <v>0</v>
      </c>
      <c r="R4" s="74">
        <f t="shared" si="6"/>
        <v>0</v>
      </c>
      <c r="S4" s="74">
        <v>0</v>
      </c>
      <c r="T4" s="74" t="e">
        <f t="shared" si="7"/>
        <v>#DIV/0!</v>
      </c>
      <c r="U4" s="73">
        <v>0</v>
      </c>
      <c r="V4" s="74">
        <v>0</v>
      </c>
      <c r="W4" s="74">
        <f t="shared" si="8"/>
        <v>0</v>
      </c>
      <c r="X4" s="74">
        <f t="shared" si="9"/>
        <v>0</v>
      </c>
      <c r="Y4" s="74" t="e">
        <f t="shared" si="10"/>
        <v>#DIV/0!</v>
      </c>
    </row>
    <row r="5" spans="1:27" x14ac:dyDescent="0.25">
      <c r="A5" s="73">
        <f t="shared" si="1"/>
        <v>0</v>
      </c>
      <c r="B5" s="73">
        <f t="shared" si="1"/>
        <v>0</v>
      </c>
      <c r="C5" s="73" t="e">
        <f t="shared" si="1"/>
        <v>#DIV/0!</v>
      </c>
      <c r="D5" s="73" t="e">
        <f t="shared" si="2"/>
        <v>#DIV/0!</v>
      </c>
      <c r="E5" s="70">
        <f t="shared" si="0"/>
        <v>0</v>
      </c>
      <c r="F5" s="70">
        <f t="shared" si="0"/>
        <v>0</v>
      </c>
      <c r="G5" s="70">
        <f t="shared" si="0"/>
        <v>0</v>
      </c>
      <c r="H5" s="70">
        <f t="shared" si="0"/>
        <v>0</v>
      </c>
      <c r="I5" s="70" t="e">
        <f t="shared" si="0"/>
        <v>#DIV/0!</v>
      </c>
      <c r="J5" s="70">
        <f t="shared" si="0"/>
        <v>0</v>
      </c>
      <c r="K5" s="70">
        <f t="shared" si="0"/>
        <v>0</v>
      </c>
      <c r="L5" s="70"/>
      <c r="M5" s="74">
        <v>0</v>
      </c>
      <c r="N5" s="74">
        <f t="shared" si="3"/>
        <v>0</v>
      </c>
      <c r="O5" s="74">
        <f t="shared" si="11"/>
        <v>0</v>
      </c>
      <c r="P5" s="74">
        <f t="shared" si="4"/>
        <v>0</v>
      </c>
      <c r="Q5" s="74">
        <f t="shared" si="5"/>
        <v>0</v>
      </c>
      <c r="R5" s="74">
        <f t="shared" si="6"/>
        <v>0</v>
      </c>
      <c r="S5" s="74">
        <v>0</v>
      </c>
      <c r="T5" s="74" t="e">
        <f t="shared" si="7"/>
        <v>#DIV/0!</v>
      </c>
      <c r="U5" s="73">
        <v>0</v>
      </c>
      <c r="V5" s="74">
        <v>0</v>
      </c>
      <c r="W5" s="74">
        <f t="shared" si="8"/>
        <v>0</v>
      </c>
      <c r="X5" s="74">
        <f t="shared" si="9"/>
        <v>0</v>
      </c>
      <c r="Y5" s="74" t="e">
        <f t="shared" si="10"/>
        <v>#DIV/0!</v>
      </c>
    </row>
    <row r="6" spans="1:27" x14ac:dyDescent="0.25">
      <c r="A6" s="73">
        <f t="shared" si="1"/>
        <v>0</v>
      </c>
      <c r="B6" s="73">
        <f t="shared" si="1"/>
        <v>0</v>
      </c>
      <c r="C6" s="73" t="e">
        <f t="shared" si="1"/>
        <v>#DIV/0!</v>
      </c>
      <c r="D6" s="73" t="e">
        <f t="shared" si="2"/>
        <v>#DIV/0!</v>
      </c>
      <c r="E6" s="70">
        <f t="shared" si="0"/>
        <v>0</v>
      </c>
      <c r="F6" s="70">
        <f t="shared" si="0"/>
        <v>0</v>
      </c>
      <c r="G6" s="70">
        <f t="shared" si="0"/>
        <v>0</v>
      </c>
      <c r="H6" s="70">
        <f t="shared" si="0"/>
        <v>0</v>
      </c>
      <c r="I6" s="70" t="e">
        <f t="shared" si="0"/>
        <v>#DIV/0!</v>
      </c>
      <c r="J6" s="70">
        <f t="shared" si="0"/>
        <v>0</v>
      </c>
      <c r="K6" s="70">
        <f t="shared" si="0"/>
        <v>0</v>
      </c>
      <c r="L6" s="70"/>
      <c r="M6" s="74">
        <v>0</v>
      </c>
      <c r="N6" s="74">
        <f t="shared" si="3"/>
        <v>0</v>
      </c>
      <c r="O6" s="74">
        <f t="shared" si="11"/>
        <v>0</v>
      </c>
      <c r="P6" s="74">
        <f t="shared" si="4"/>
        <v>0</v>
      </c>
      <c r="Q6" s="74">
        <f t="shared" si="5"/>
        <v>0</v>
      </c>
      <c r="R6" s="74">
        <f t="shared" si="6"/>
        <v>0</v>
      </c>
      <c r="S6" s="74">
        <v>0</v>
      </c>
      <c r="T6" s="74" t="e">
        <f t="shared" si="7"/>
        <v>#DIV/0!</v>
      </c>
      <c r="U6" s="73">
        <v>0</v>
      </c>
      <c r="V6" s="74">
        <v>0</v>
      </c>
      <c r="W6" s="74">
        <f t="shared" si="8"/>
        <v>0</v>
      </c>
      <c r="X6" s="74">
        <f t="shared" si="9"/>
        <v>0</v>
      </c>
      <c r="Y6" s="74" t="e">
        <f t="shared" si="10"/>
        <v>#DIV/0!</v>
      </c>
    </row>
    <row r="7" spans="1:27" x14ac:dyDescent="0.25">
      <c r="A7" s="73">
        <f t="shared" si="1"/>
        <v>0</v>
      </c>
      <c r="B7" s="73">
        <f t="shared" si="1"/>
        <v>0</v>
      </c>
      <c r="C7" s="73" t="e">
        <f t="shared" si="1"/>
        <v>#DIV/0!</v>
      </c>
      <c r="D7" s="73" t="e">
        <f t="shared" si="2"/>
        <v>#DIV/0!</v>
      </c>
      <c r="E7" s="70">
        <f t="shared" si="0"/>
        <v>0</v>
      </c>
      <c r="F7" s="70">
        <f t="shared" si="0"/>
        <v>0</v>
      </c>
      <c r="G7" s="70">
        <f t="shared" si="0"/>
        <v>0</v>
      </c>
      <c r="H7" s="70">
        <f t="shared" si="0"/>
        <v>0</v>
      </c>
      <c r="I7" s="70" t="e">
        <f t="shared" si="0"/>
        <v>#DIV/0!</v>
      </c>
      <c r="J7" s="70">
        <f t="shared" si="0"/>
        <v>0</v>
      </c>
      <c r="K7" s="70">
        <f t="shared" si="0"/>
        <v>0</v>
      </c>
      <c r="L7" s="70"/>
      <c r="M7" s="74">
        <v>0</v>
      </c>
      <c r="N7" s="74">
        <f t="shared" si="3"/>
        <v>0</v>
      </c>
      <c r="O7" s="74">
        <f t="shared" si="11"/>
        <v>0</v>
      </c>
      <c r="P7" s="74">
        <f t="shared" si="4"/>
        <v>0</v>
      </c>
      <c r="Q7" s="74">
        <f t="shared" si="5"/>
        <v>0</v>
      </c>
      <c r="R7" s="74">
        <f t="shared" si="6"/>
        <v>0</v>
      </c>
      <c r="S7" s="74">
        <v>0</v>
      </c>
      <c r="T7" s="74" t="e">
        <f t="shared" si="7"/>
        <v>#DIV/0!</v>
      </c>
      <c r="U7" s="73">
        <v>0</v>
      </c>
      <c r="V7" s="74">
        <v>0</v>
      </c>
      <c r="W7" s="74">
        <f t="shared" si="8"/>
        <v>0</v>
      </c>
      <c r="X7" s="74">
        <f t="shared" si="9"/>
        <v>0</v>
      </c>
      <c r="Y7" s="74" t="e">
        <f t="shared" si="10"/>
        <v>#DIV/0!</v>
      </c>
    </row>
    <row r="8" spans="1:27" x14ac:dyDescent="0.25">
      <c r="A8" s="73">
        <f t="shared" si="1"/>
        <v>0</v>
      </c>
      <c r="B8" s="73">
        <f t="shared" si="1"/>
        <v>0</v>
      </c>
      <c r="C8" s="73" t="e">
        <f t="shared" si="1"/>
        <v>#DIV/0!</v>
      </c>
      <c r="D8" s="73" t="e">
        <f t="shared" si="2"/>
        <v>#DIV/0!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70">
        <f t="shared" si="0"/>
        <v>0</v>
      </c>
      <c r="I8" s="70" t="e">
        <f t="shared" si="0"/>
        <v>#DIV/0!</v>
      </c>
      <c r="J8" s="70">
        <f t="shared" si="0"/>
        <v>0</v>
      </c>
      <c r="K8" s="70">
        <f t="shared" si="0"/>
        <v>0</v>
      </c>
      <c r="L8" s="70"/>
      <c r="M8" s="74">
        <v>0</v>
      </c>
      <c r="N8" s="74">
        <f t="shared" si="3"/>
        <v>0</v>
      </c>
      <c r="O8" s="74">
        <f t="shared" si="11"/>
        <v>0</v>
      </c>
      <c r="P8" s="74">
        <f t="shared" si="4"/>
        <v>0</v>
      </c>
      <c r="Q8" s="74">
        <f t="shared" si="5"/>
        <v>0</v>
      </c>
      <c r="R8" s="74">
        <f t="shared" si="6"/>
        <v>0</v>
      </c>
      <c r="S8" s="74">
        <v>0</v>
      </c>
      <c r="T8" s="74" t="e">
        <f t="shared" si="7"/>
        <v>#DIV/0!</v>
      </c>
      <c r="U8" s="73">
        <v>0</v>
      </c>
      <c r="V8" s="74">
        <v>0</v>
      </c>
      <c r="W8" s="74">
        <f t="shared" si="8"/>
        <v>0</v>
      </c>
      <c r="X8" s="74">
        <f t="shared" si="9"/>
        <v>0</v>
      </c>
      <c r="Y8" s="74" t="e">
        <f t="shared" si="10"/>
        <v>#DIV/0!</v>
      </c>
    </row>
    <row r="9" spans="1:27" x14ac:dyDescent="0.25">
      <c r="A9" s="73">
        <f t="shared" si="1"/>
        <v>0</v>
      </c>
      <c r="B9" s="73">
        <f t="shared" si="1"/>
        <v>0</v>
      </c>
      <c r="C9" s="73" t="e">
        <f t="shared" si="1"/>
        <v>#DIV/0!</v>
      </c>
      <c r="D9" s="73" t="e">
        <f t="shared" si="2"/>
        <v>#DIV/0!</v>
      </c>
      <c r="E9" s="70">
        <f t="shared" si="0"/>
        <v>0</v>
      </c>
      <c r="F9" s="70">
        <f t="shared" si="0"/>
        <v>0</v>
      </c>
      <c r="G9" s="70">
        <f t="shared" si="0"/>
        <v>0</v>
      </c>
      <c r="H9" s="70">
        <f t="shared" si="0"/>
        <v>0</v>
      </c>
      <c r="I9" s="70" t="e">
        <f t="shared" si="0"/>
        <v>#DIV/0!</v>
      </c>
      <c r="J9" s="70">
        <f t="shared" si="0"/>
        <v>0</v>
      </c>
      <c r="K9" s="70">
        <f t="shared" si="0"/>
        <v>0</v>
      </c>
      <c r="L9" s="70"/>
      <c r="M9" s="74">
        <v>0</v>
      </c>
      <c r="N9" s="74">
        <f t="shared" si="3"/>
        <v>0</v>
      </c>
      <c r="O9" s="74">
        <f t="shared" si="11"/>
        <v>0</v>
      </c>
      <c r="P9" s="74">
        <f t="shared" si="4"/>
        <v>0</v>
      </c>
      <c r="Q9" s="74">
        <f t="shared" si="5"/>
        <v>0</v>
      </c>
      <c r="R9" s="74">
        <f t="shared" si="6"/>
        <v>0</v>
      </c>
      <c r="S9" s="74">
        <v>0</v>
      </c>
      <c r="T9" s="74" t="e">
        <f t="shared" si="7"/>
        <v>#DIV/0!</v>
      </c>
      <c r="U9" s="73">
        <v>0</v>
      </c>
      <c r="V9" s="74">
        <v>0</v>
      </c>
      <c r="W9" s="74">
        <f t="shared" si="8"/>
        <v>0</v>
      </c>
      <c r="X9" s="74">
        <f t="shared" si="9"/>
        <v>0</v>
      </c>
      <c r="Y9" s="74" t="e">
        <f t="shared" si="10"/>
        <v>#DIV/0!</v>
      </c>
    </row>
    <row r="10" spans="1:27" x14ac:dyDescent="0.25">
      <c r="A10" s="73">
        <f t="shared" si="1"/>
        <v>0</v>
      </c>
      <c r="B10" s="73">
        <f t="shared" si="1"/>
        <v>0</v>
      </c>
      <c r="C10" s="73" t="e">
        <f t="shared" si="1"/>
        <v>#DIV/0!</v>
      </c>
      <c r="D10" s="73" t="e">
        <f t="shared" si="2"/>
        <v>#DIV/0!</v>
      </c>
      <c r="E10" s="70">
        <f t="shared" si="0"/>
        <v>0</v>
      </c>
      <c r="F10" s="70">
        <f t="shared" si="0"/>
        <v>0</v>
      </c>
      <c r="G10" s="70">
        <f t="shared" si="0"/>
        <v>0</v>
      </c>
      <c r="H10" s="70">
        <f t="shared" si="0"/>
        <v>0</v>
      </c>
      <c r="I10" s="70" t="e">
        <f t="shared" si="0"/>
        <v>#DIV/0!</v>
      </c>
      <c r="J10" s="70">
        <f t="shared" si="0"/>
        <v>0</v>
      </c>
      <c r="K10" s="70">
        <f t="shared" si="0"/>
        <v>0</v>
      </c>
      <c r="L10" s="70"/>
      <c r="M10" s="74">
        <v>0</v>
      </c>
      <c r="N10" s="74">
        <f t="shared" si="3"/>
        <v>0</v>
      </c>
      <c r="O10" s="74">
        <f t="shared" si="11"/>
        <v>0</v>
      </c>
      <c r="P10" s="74">
        <f t="shared" si="4"/>
        <v>0</v>
      </c>
      <c r="Q10" s="74">
        <f t="shared" si="5"/>
        <v>0</v>
      </c>
      <c r="R10" s="74">
        <f t="shared" si="6"/>
        <v>0</v>
      </c>
      <c r="S10" s="74">
        <v>0</v>
      </c>
      <c r="T10" s="74" t="e">
        <f t="shared" si="7"/>
        <v>#DIV/0!</v>
      </c>
      <c r="U10" s="73">
        <v>0</v>
      </c>
      <c r="V10" s="74">
        <v>0</v>
      </c>
      <c r="W10" s="74">
        <f t="shared" si="8"/>
        <v>0</v>
      </c>
      <c r="X10" s="74">
        <f t="shared" si="9"/>
        <v>0</v>
      </c>
      <c r="Y10" s="74" t="e">
        <f t="shared" si="10"/>
        <v>#DIV/0!</v>
      </c>
    </row>
    <row r="11" spans="1:27" x14ac:dyDescent="0.25">
      <c r="A11" s="73">
        <f t="shared" si="1"/>
        <v>0</v>
      </c>
      <c r="B11" s="73">
        <f t="shared" si="1"/>
        <v>0</v>
      </c>
      <c r="C11" s="73" t="e">
        <f t="shared" si="1"/>
        <v>#DIV/0!</v>
      </c>
      <c r="D11" s="73" t="e">
        <f t="shared" si="2"/>
        <v>#DIV/0!</v>
      </c>
      <c r="E11" s="70">
        <f t="shared" si="0"/>
        <v>0</v>
      </c>
      <c r="F11" s="70">
        <f t="shared" si="0"/>
        <v>0</v>
      </c>
      <c r="G11" s="70">
        <f t="shared" si="0"/>
        <v>0</v>
      </c>
      <c r="H11" s="70">
        <f t="shared" si="0"/>
        <v>0</v>
      </c>
      <c r="I11" s="70" t="e">
        <f t="shared" si="0"/>
        <v>#DIV/0!</v>
      </c>
      <c r="J11" s="70">
        <f t="shared" si="0"/>
        <v>0</v>
      </c>
      <c r="K11" s="70">
        <f t="shared" si="0"/>
        <v>0</v>
      </c>
      <c r="L11" s="70"/>
      <c r="M11" s="74">
        <v>0</v>
      </c>
      <c r="N11" s="74">
        <f t="shared" si="3"/>
        <v>0</v>
      </c>
      <c r="O11" s="74">
        <f t="shared" si="11"/>
        <v>0</v>
      </c>
      <c r="P11" s="74">
        <f t="shared" si="4"/>
        <v>0</v>
      </c>
      <c r="Q11" s="74">
        <f t="shared" si="5"/>
        <v>0</v>
      </c>
      <c r="R11" s="74">
        <f t="shared" si="6"/>
        <v>0</v>
      </c>
      <c r="S11" s="74">
        <v>0</v>
      </c>
      <c r="T11" s="74" t="e">
        <f t="shared" si="7"/>
        <v>#DIV/0!</v>
      </c>
      <c r="U11" s="73">
        <v>0</v>
      </c>
      <c r="V11" s="74">
        <v>0</v>
      </c>
      <c r="W11" s="74">
        <f t="shared" si="8"/>
        <v>0</v>
      </c>
      <c r="X11" s="74">
        <f t="shared" si="9"/>
        <v>0</v>
      </c>
      <c r="Y11" s="74" t="e">
        <f t="shared" si="10"/>
        <v>#DIV/0!</v>
      </c>
    </row>
    <row r="12" spans="1:27" x14ac:dyDescent="0.25">
      <c r="A12" s="73">
        <f t="shared" si="1"/>
        <v>0</v>
      </c>
      <c r="B12" s="73">
        <f t="shared" si="1"/>
        <v>0</v>
      </c>
      <c r="C12" s="73" t="e">
        <f t="shared" si="1"/>
        <v>#DIV/0!</v>
      </c>
      <c r="D12" s="73" t="e">
        <f t="shared" si="2"/>
        <v>#DIV/0!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0" t="e">
        <f t="shared" si="0"/>
        <v>#DIV/0!</v>
      </c>
      <c r="J12" s="70">
        <f t="shared" si="0"/>
        <v>0</v>
      </c>
      <c r="K12" s="70">
        <f t="shared" si="0"/>
        <v>0</v>
      </c>
      <c r="L12" s="70"/>
      <c r="M12" s="74">
        <v>0</v>
      </c>
      <c r="N12" s="74">
        <f t="shared" si="3"/>
        <v>0</v>
      </c>
      <c r="O12" s="74">
        <f t="shared" si="11"/>
        <v>0</v>
      </c>
      <c r="P12" s="74">
        <f t="shared" si="4"/>
        <v>0</v>
      </c>
      <c r="Q12" s="74">
        <f t="shared" si="5"/>
        <v>0</v>
      </c>
      <c r="R12" s="74">
        <f t="shared" si="6"/>
        <v>0</v>
      </c>
      <c r="S12" s="74">
        <v>0</v>
      </c>
      <c r="T12" s="74" t="e">
        <f t="shared" si="7"/>
        <v>#DIV/0!</v>
      </c>
      <c r="U12" s="73">
        <v>0</v>
      </c>
      <c r="V12" s="74">
        <v>0</v>
      </c>
      <c r="W12" s="74">
        <f t="shared" si="8"/>
        <v>0</v>
      </c>
      <c r="X12" s="74">
        <f t="shared" si="9"/>
        <v>0</v>
      </c>
      <c r="Y12" s="74" t="e">
        <f t="shared" si="10"/>
        <v>#DIV/0!</v>
      </c>
    </row>
    <row r="13" spans="1:27" x14ac:dyDescent="0.25">
      <c r="A13" s="73">
        <f t="shared" si="1"/>
        <v>0</v>
      </c>
      <c r="B13" s="73">
        <f t="shared" si="1"/>
        <v>0</v>
      </c>
      <c r="C13" s="73" t="e">
        <f t="shared" si="1"/>
        <v>#DIV/0!</v>
      </c>
      <c r="D13" s="73" t="e">
        <f t="shared" si="2"/>
        <v>#DIV/0!</v>
      </c>
      <c r="E13" s="70">
        <f t="shared" si="0"/>
        <v>0</v>
      </c>
      <c r="F13" s="70">
        <f t="shared" si="0"/>
        <v>0</v>
      </c>
      <c r="G13" s="70">
        <f t="shared" si="0"/>
        <v>0</v>
      </c>
      <c r="H13" s="70">
        <f t="shared" si="0"/>
        <v>0</v>
      </c>
      <c r="I13" s="70" t="e">
        <f t="shared" si="0"/>
        <v>#DIV/0!</v>
      </c>
      <c r="J13" s="70">
        <f t="shared" si="0"/>
        <v>0</v>
      </c>
      <c r="K13" s="70">
        <f t="shared" si="0"/>
        <v>0</v>
      </c>
      <c r="L13" s="70"/>
      <c r="M13" s="74">
        <v>0</v>
      </c>
      <c r="N13" s="74">
        <f t="shared" si="3"/>
        <v>0</v>
      </c>
      <c r="O13" s="74">
        <f t="shared" si="11"/>
        <v>0</v>
      </c>
      <c r="P13" s="74">
        <f t="shared" si="4"/>
        <v>0</v>
      </c>
      <c r="Q13" s="74">
        <f t="shared" si="5"/>
        <v>0</v>
      </c>
      <c r="R13" s="74">
        <f t="shared" si="6"/>
        <v>0</v>
      </c>
      <c r="S13" s="74">
        <v>0</v>
      </c>
      <c r="T13" s="74" t="e">
        <f t="shared" si="7"/>
        <v>#DIV/0!</v>
      </c>
      <c r="U13" s="73">
        <v>0</v>
      </c>
      <c r="V13" s="74">
        <v>0</v>
      </c>
      <c r="W13" s="74">
        <f t="shared" si="8"/>
        <v>0</v>
      </c>
      <c r="X13" s="74">
        <f t="shared" si="9"/>
        <v>0</v>
      </c>
      <c r="Y13" s="74" t="e">
        <f t="shared" si="10"/>
        <v>#DIV/0!</v>
      </c>
    </row>
    <row r="14" spans="1:27" x14ac:dyDescent="0.25">
      <c r="A14" s="73">
        <f t="shared" si="1"/>
        <v>0</v>
      </c>
      <c r="B14" s="73">
        <f t="shared" si="1"/>
        <v>0</v>
      </c>
      <c r="C14" s="73" t="e">
        <f t="shared" si="1"/>
        <v>#DIV/0!</v>
      </c>
      <c r="D14" s="73" t="e">
        <f t="shared" si="2"/>
        <v>#DIV/0!</v>
      </c>
      <c r="E14" s="70">
        <f t="shared" si="0"/>
        <v>0</v>
      </c>
      <c r="F14" s="70">
        <f t="shared" si="0"/>
        <v>0</v>
      </c>
      <c r="G14" s="70">
        <f t="shared" si="0"/>
        <v>0</v>
      </c>
      <c r="H14" s="70">
        <f t="shared" si="0"/>
        <v>0</v>
      </c>
      <c r="I14" s="70" t="e">
        <f t="shared" si="0"/>
        <v>#DIV/0!</v>
      </c>
      <c r="J14" s="70">
        <f t="shared" si="0"/>
        <v>0</v>
      </c>
      <c r="K14" s="70">
        <f t="shared" si="0"/>
        <v>0</v>
      </c>
      <c r="L14" s="70"/>
      <c r="M14" s="74">
        <v>0</v>
      </c>
      <c r="N14" s="74">
        <f t="shared" si="3"/>
        <v>0</v>
      </c>
      <c r="O14" s="74">
        <f t="shared" si="11"/>
        <v>0</v>
      </c>
      <c r="P14" s="74">
        <f t="shared" si="4"/>
        <v>0</v>
      </c>
      <c r="Q14" s="74">
        <f t="shared" si="5"/>
        <v>0</v>
      </c>
      <c r="R14" s="74">
        <f t="shared" si="6"/>
        <v>0</v>
      </c>
      <c r="S14" s="74">
        <v>0</v>
      </c>
      <c r="T14" s="74" t="e">
        <f t="shared" si="7"/>
        <v>#DIV/0!</v>
      </c>
      <c r="U14" s="73">
        <v>0</v>
      </c>
      <c r="V14" s="74">
        <v>0</v>
      </c>
      <c r="W14" s="74">
        <f t="shared" si="8"/>
        <v>0</v>
      </c>
      <c r="X14" s="74">
        <f t="shared" si="9"/>
        <v>0</v>
      </c>
      <c r="Y14" s="74" t="e">
        <f t="shared" si="10"/>
        <v>#DIV/0!</v>
      </c>
    </row>
    <row r="15" spans="1:27" x14ac:dyDescent="0.25">
      <c r="A15" s="73">
        <f t="shared" si="1"/>
        <v>0</v>
      </c>
      <c r="B15" s="73">
        <f t="shared" si="1"/>
        <v>0</v>
      </c>
      <c r="C15" s="73" t="e">
        <f t="shared" si="1"/>
        <v>#DIV/0!</v>
      </c>
      <c r="D15" s="73" t="e">
        <f t="shared" si="2"/>
        <v>#DIV/0!</v>
      </c>
      <c r="E15" s="70">
        <f t="shared" si="0"/>
        <v>0</v>
      </c>
      <c r="F15" s="70">
        <f t="shared" si="0"/>
        <v>0</v>
      </c>
      <c r="G15" s="70">
        <f t="shared" si="0"/>
        <v>0</v>
      </c>
      <c r="H15" s="70">
        <f t="shared" si="0"/>
        <v>0</v>
      </c>
      <c r="I15" s="70" t="e">
        <f t="shared" si="0"/>
        <v>#DIV/0!</v>
      </c>
      <c r="J15" s="70">
        <f t="shared" si="0"/>
        <v>0</v>
      </c>
      <c r="K15" s="70">
        <f t="shared" si="0"/>
        <v>0</v>
      </c>
      <c r="L15" s="70"/>
      <c r="M15" s="74">
        <v>0</v>
      </c>
      <c r="N15" s="74">
        <f t="shared" si="3"/>
        <v>0</v>
      </c>
      <c r="O15" s="74">
        <f t="shared" si="11"/>
        <v>0</v>
      </c>
      <c r="P15" s="74">
        <f t="shared" si="4"/>
        <v>0</v>
      </c>
      <c r="Q15" s="74">
        <f t="shared" si="5"/>
        <v>0</v>
      </c>
      <c r="R15" s="74">
        <f t="shared" si="6"/>
        <v>0</v>
      </c>
      <c r="S15" s="74">
        <v>0</v>
      </c>
      <c r="T15" s="74" t="e">
        <f t="shared" si="7"/>
        <v>#DIV/0!</v>
      </c>
      <c r="U15" s="73">
        <v>0</v>
      </c>
      <c r="V15" s="74">
        <v>0</v>
      </c>
      <c r="W15" s="74">
        <f t="shared" si="8"/>
        <v>0</v>
      </c>
      <c r="X15" s="74">
        <f t="shared" si="9"/>
        <v>0</v>
      </c>
      <c r="Y15" s="74" t="e">
        <f t="shared" si="10"/>
        <v>#DIV/0!</v>
      </c>
    </row>
    <row r="16" spans="1:27" x14ac:dyDescent="0.25">
      <c r="A16" s="73">
        <f t="shared" si="1"/>
        <v>0</v>
      </c>
      <c r="B16" s="73">
        <f t="shared" si="1"/>
        <v>0</v>
      </c>
      <c r="C16" s="73" t="e">
        <f t="shared" si="1"/>
        <v>#DIV/0!</v>
      </c>
      <c r="D16" s="73" t="e">
        <f t="shared" si="2"/>
        <v>#DIV/0!</v>
      </c>
      <c r="E16" s="70">
        <f t="shared" si="0"/>
        <v>0</v>
      </c>
      <c r="F16" s="70">
        <f t="shared" si="0"/>
        <v>0</v>
      </c>
      <c r="G16" s="70">
        <f t="shared" si="0"/>
        <v>0</v>
      </c>
      <c r="H16" s="70">
        <f t="shared" si="0"/>
        <v>0</v>
      </c>
      <c r="I16" s="70" t="e">
        <f t="shared" si="0"/>
        <v>#DIV/0!</v>
      </c>
      <c r="J16" s="70">
        <f t="shared" si="0"/>
        <v>0</v>
      </c>
      <c r="K16" s="70">
        <f t="shared" si="0"/>
        <v>0</v>
      </c>
      <c r="L16" s="70"/>
      <c r="M16" s="74">
        <v>0</v>
      </c>
      <c r="N16" s="74">
        <f t="shared" si="3"/>
        <v>0</v>
      </c>
      <c r="O16" s="74">
        <f t="shared" si="11"/>
        <v>0</v>
      </c>
      <c r="P16" s="74">
        <f t="shared" si="4"/>
        <v>0</v>
      </c>
      <c r="Q16" s="74">
        <f t="shared" si="5"/>
        <v>0</v>
      </c>
      <c r="R16" s="74">
        <f t="shared" si="6"/>
        <v>0</v>
      </c>
      <c r="S16" s="74">
        <v>0</v>
      </c>
      <c r="T16" s="74" t="e">
        <f t="shared" si="7"/>
        <v>#DIV/0!</v>
      </c>
      <c r="U16" s="73">
        <v>0</v>
      </c>
      <c r="V16" s="74">
        <v>0</v>
      </c>
      <c r="W16" s="74">
        <f t="shared" si="8"/>
        <v>0</v>
      </c>
      <c r="X16" s="74">
        <f t="shared" si="9"/>
        <v>0</v>
      </c>
      <c r="Y16" s="74" t="e">
        <f t="shared" si="10"/>
        <v>#DIV/0!</v>
      </c>
    </row>
    <row r="17" spans="1:25" x14ac:dyDescent="0.25">
      <c r="A17" s="73">
        <f t="shared" si="1"/>
        <v>0</v>
      </c>
      <c r="B17" s="73">
        <f t="shared" si="1"/>
        <v>0</v>
      </c>
      <c r="C17" s="73" t="e">
        <f t="shared" si="1"/>
        <v>#DIV/0!</v>
      </c>
      <c r="D17" s="73" t="e">
        <f t="shared" si="2"/>
        <v>#DIV/0!</v>
      </c>
      <c r="E17" s="70">
        <f t="shared" ref="E17:K18" si="12">U17</f>
        <v>0</v>
      </c>
      <c r="F17" s="70">
        <f t="shared" si="12"/>
        <v>0</v>
      </c>
      <c r="G17" s="70">
        <f t="shared" si="12"/>
        <v>0</v>
      </c>
      <c r="H17" s="70">
        <f t="shared" si="12"/>
        <v>0</v>
      </c>
      <c r="I17" s="70" t="e">
        <f t="shared" si="12"/>
        <v>#DIV/0!</v>
      </c>
      <c r="J17" s="70">
        <f t="shared" si="12"/>
        <v>0</v>
      </c>
      <c r="K17" s="70">
        <f t="shared" si="12"/>
        <v>0</v>
      </c>
      <c r="L17" s="70"/>
      <c r="M17" s="74">
        <v>0</v>
      </c>
      <c r="N17" s="74">
        <f t="shared" si="3"/>
        <v>0</v>
      </c>
      <c r="O17" s="74">
        <f t="shared" si="11"/>
        <v>0</v>
      </c>
      <c r="P17" s="74">
        <f t="shared" si="4"/>
        <v>0</v>
      </c>
      <c r="Q17" s="74">
        <f t="shared" si="5"/>
        <v>0</v>
      </c>
      <c r="R17" s="74">
        <f t="shared" si="6"/>
        <v>0</v>
      </c>
      <c r="S17" s="74">
        <v>0</v>
      </c>
      <c r="T17" s="74" t="e">
        <f t="shared" si="7"/>
        <v>#DIV/0!</v>
      </c>
      <c r="U17" s="73">
        <v>0</v>
      </c>
      <c r="V17" s="74">
        <v>0</v>
      </c>
      <c r="W17" s="74">
        <f t="shared" si="8"/>
        <v>0</v>
      </c>
      <c r="X17" s="74">
        <f t="shared" si="9"/>
        <v>0</v>
      </c>
      <c r="Y17" s="74" t="e">
        <f t="shared" si="10"/>
        <v>#DIV/0!</v>
      </c>
    </row>
    <row r="18" spans="1:25" x14ac:dyDescent="0.25">
      <c r="A18" s="73">
        <f t="shared" ref="A18:C18" si="13">R18</f>
        <v>0</v>
      </c>
      <c r="B18" s="73">
        <f t="shared" si="13"/>
        <v>0</v>
      </c>
      <c r="C18" s="73" t="e">
        <f t="shared" si="13"/>
        <v>#DIV/0!</v>
      </c>
      <c r="D18" s="73" t="e">
        <f t="shared" si="2"/>
        <v>#DIV/0!</v>
      </c>
      <c r="E18" s="70">
        <f t="shared" si="12"/>
        <v>0</v>
      </c>
      <c r="F18" s="70">
        <f t="shared" si="12"/>
        <v>0</v>
      </c>
      <c r="G18" s="70">
        <f t="shared" si="12"/>
        <v>0</v>
      </c>
      <c r="H18" s="70">
        <f t="shared" si="12"/>
        <v>0</v>
      </c>
      <c r="I18" s="70" t="e">
        <f t="shared" si="12"/>
        <v>#DIV/0!</v>
      </c>
      <c r="J18" s="70">
        <f t="shared" si="12"/>
        <v>0</v>
      </c>
      <c r="K18" s="70">
        <f t="shared" si="12"/>
        <v>0</v>
      </c>
      <c r="L18" s="70"/>
      <c r="M18" s="74">
        <v>0</v>
      </c>
      <c r="N18" s="74">
        <f t="shared" si="3"/>
        <v>0</v>
      </c>
      <c r="O18" s="74">
        <f t="shared" si="11"/>
        <v>0</v>
      </c>
      <c r="P18" s="74">
        <f t="shared" si="4"/>
        <v>0</v>
      </c>
      <c r="Q18" s="74">
        <f t="shared" si="5"/>
        <v>0</v>
      </c>
      <c r="R18" s="74">
        <f t="shared" si="6"/>
        <v>0</v>
      </c>
      <c r="S18" s="74">
        <v>0</v>
      </c>
      <c r="T18" s="74" t="e">
        <f t="shared" si="7"/>
        <v>#DIV/0!</v>
      </c>
      <c r="U18" s="73">
        <v>0</v>
      </c>
      <c r="V18" s="74">
        <v>0</v>
      </c>
      <c r="W18" s="74">
        <f t="shared" si="8"/>
        <v>0</v>
      </c>
      <c r="X18" s="74">
        <f t="shared" si="9"/>
        <v>0</v>
      </c>
      <c r="Y18" s="74" t="e">
        <f t="shared" si="10"/>
        <v>#DIV/0!</v>
      </c>
    </row>
    <row r="22" spans="1:25" x14ac:dyDescent="0.25">
      <c r="M22" s="74">
        <v>1172.32</v>
      </c>
      <c r="N22" s="74">
        <f>M22*10.764</f>
        <v>12618.852479999998</v>
      </c>
      <c r="O22" s="74">
        <f>N22/121.0167464</f>
        <v>104.27360555778417</v>
      </c>
      <c r="P22" s="74">
        <v>105000</v>
      </c>
      <c r="Q22" s="74">
        <f>O22*P22</f>
        <v>10948728.583567338</v>
      </c>
    </row>
    <row r="23" spans="1:25" x14ac:dyDescent="0.25">
      <c r="M23" s="74">
        <v>1439</v>
      </c>
      <c r="N23" s="74">
        <f>M23*10.764</f>
        <v>15489.395999999999</v>
      </c>
      <c r="O23" s="74">
        <f>N23/121.0167464</f>
        <v>127.99382284500088</v>
      </c>
      <c r="P23" s="74">
        <v>105000</v>
      </c>
      <c r="Q23" s="74">
        <f>O23*P23</f>
        <v>13439351.398725092</v>
      </c>
    </row>
    <row r="24" spans="1:25" x14ac:dyDescent="0.25">
      <c r="F24" s="74">
        <f>30000/10.764</f>
        <v>2787.0680044593091</v>
      </c>
    </row>
    <row r="27" spans="1:25" x14ac:dyDescent="0.25">
      <c r="Q27" s="74">
        <v>11107789</v>
      </c>
      <c r="R27" s="74">
        <v>17424</v>
      </c>
      <c r="S27" s="74">
        <f>Q27/R27</f>
        <v>637.49936868686871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ED80-83AE-41E6-BABA-2EA08739DA80}">
  <dimension ref="A1"/>
  <sheetViews>
    <sheetView topLeftCell="A7" zoomScale="220" zoomScaleNormal="22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1F49-6476-4C2E-8BD6-329EA873671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 on Date</vt:lpstr>
      <vt:lpstr>After Approval</vt:lpstr>
      <vt:lpstr>IGR</vt:lpstr>
      <vt:lpstr>Previous Valuation Report</vt:lpstr>
      <vt:lpstr>Sheet3</vt:lpstr>
      <vt:lpstr>Sheet4</vt:lpstr>
      <vt:lpstr>Sheet5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2024-02-19T11:16:43Z</dcterms:modified>
</cp:coreProperties>
</file>