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B_Borivali (West)_Dineshkant R Dubey\"/>
    </mc:Choice>
  </mc:AlternateContent>
  <xr:revisionPtr revIDLastSave="0" documentId="13_ncr:1_{EB4957C4-135C-42B8-AAA2-B8EC15EA93D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heet1" sheetId="1" r:id="rId1"/>
    <sheet name="Data" sheetId="2" r:id="rId2"/>
    <sheet name="Working Sheet" sheetId="5" r:id="rId3"/>
    <sheet name="Nagpur Mall" sheetId="3" r:id="rId4"/>
    <sheet name="Sheet2" sheetId="6" r:id="rId5"/>
    <sheet name="new Working sheet" sheetId="10" r:id="rId6"/>
    <sheet name="Summary" sheetId="7" r:id="rId7"/>
    <sheet name="Sheet5" sheetId="9" r:id="rId8"/>
    <sheet name="Sheet3" sheetId="11" r:id="rId9"/>
    <sheet name="Sheet4" sheetId="12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5" l="1"/>
  <c r="O36" i="12" l="1"/>
  <c r="L36" i="12"/>
  <c r="K36" i="12"/>
  <c r="H36" i="12"/>
  <c r="G36" i="12"/>
  <c r="F36" i="12"/>
  <c r="E36" i="12"/>
  <c r="D36" i="12"/>
  <c r="C36" i="12"/>
  <c r="N36" i="12" s="1"/>
  <c r="J28" i="12"/>
  <c r="J31" i="12" s="1"/>
  <c r="I28" i="12"/>
  <c r="I31" i="12" s="1"/>
  <c r="O16" i="12"/>
  <c r="K16" i="12"/>
  <c r="J16" i="12"/>
  <c r="F16" i="12"/>
  <c r="O15" i="12"/>
  <c r="M15" i="12"/>
  <c r="M16" i="12" s="1"/>
  <c r="L15" i="12"/>
  <c r="L16" i="12" s="1"/>
  <c r="K15" i="12"/>
  <c r="J15" i="12"/>
  <c r="H15" i="12"/>
  <c r="H16" i="12" s="1"/>
  <c r="G15" i="12"/>
  <c r="G16" i="12" s="1"/>
  <c r="F15" i="12"/>
  <c r="E15" i="12"/>
  <c r="E16" i="12" s="1"/>
  <c r="D15" i="12"/>
  <c r="D16" i="12" s="1"/>
  <c r="I14" i="12"/>
  <c r="I19" i="12" s="1"/>
  <c r="G14" i="12"/>
  <c r="E14" i="12"/>
  <c r="M6" i="12"/>
  <c r="M14" i="12" s="1"/>
  <c r="L6" i="12"/>
  <c r="K6" i="12"/>
  <c r="K14" i="12" s="1"/>
  <c r="J6" i="12"/>
  <c r="J14" i="12" s="1"/>
  <c r="H6" i="12"/>
  <c r="H14" i="12" s="1"/>
  <c r="G6" i="12"/>
  <c r="F6" i="12"/>
  <c r="F14" i="12" s="1"/>
  <c r="D6" i="12"/>
  <c r="D14" i="12" s="1"/>
  <c r="C6" i="12"/>
  <c r="C14" i="12" s="1"/>
  <c r="O5" i="12"/>
  <c r="O14" i="12" s="1"/>
  <c r="M5" i="12"/>
  <c r="M13" i="12" s="1"/>
  <c r="M19" i="12" s="1"/>
  <c r="L5" i="12"/>
  <c r="L14" i="12" s="1"/>
  <c r="K5" i="12"/>
  <c r="K13" i="12" s="1"/>
  <c r="K19" i="12" s="1"/>
  <c r="J5" i="12"/>
  <c r="J13" i="12" s="1"/>
  <c r="J19" i="12" s="1"/>
  <c r="H5" i="12"/>
  <c r="H13" i="12" s="1"/>
  <c r="H19" i="12" s="1"/>
  <c r="G5" i="12"/>
  <c r="G13" i="12" s="1"/>
  <c r="G19" i="12" s="1"/>
  <c r="F5" i="12"/>
  <c r="F13" i="12" s="1"/>
  <c r="F19" i="12" s="1"/>
  <c r="E5" i="12"/>
  <c r="E13" i="12" s="1"/>
  <c r="E19" i="12" s="1"/>
  <c r="D5" i="12"/>
  <c r="D13" i="12" s="1"/>
  <c r="D19" i="12" s="1"/>
  <c r="C5" i="12"/>
  <c r="C13" i="12" s="1"/>
  <c r="AB24" i="5"/>
  <c r="AB23" i="5"/>
  <c r="AB22" i="5"/>
  <c r="AA22" i="5"/>
  <c r="Z22" i="5"/>
  <c r="O14" i="5"/>
  <c r="R6" i="5"/>
  <c r="S19" i="5"/>
  <c r="T20" i="5"/>
  <c r="S20" i="5"/>
  <c r="E14" i="5"/>
  <c r="Q15" i="5"/>
  <c r="Q14" i="5"/>
  <c r="W17" i="5"/>
  <c r="W16" i="5"/>
  <c r="W15" i="5"/>
  <c r="W9" i="5"/>
  <c r="W8" i="5"/>
  <c r="R27" i="5"/>
  <c r="R26" i="5"/>
  <c r="R25" i="5"/>
  <c r="O36" i="5"/>
  <c r="O15" i="5"/>
  <c r="O16" i="5" s="1"/>
  <c r="O13" i="5"/>
  <c r="O19" i="5" s="1"/>
  <c r="D5" i="5"/>
  <c r="F5" i="5"/>
  <c r="F13" i="5" s="1"/>
  <c r="G5" i="5"/>
  <c r="G13" i="5" s="1"/>
  <c r="H5" i="5"/>
  <c r="J5" i="5"/>
  <c r="K5" i="5"/>
  <c r="K13" i="5" s="1"/>
  <c r="L5" i="5"/>
  <c r="L13" i="5" s="1"/>
  <c r="M5" i="5"/>
  <c r="D6" i="5"/>
  <c r="F6" i="5"/>
  <c r="F14" i="5" s="1"/>
  <c r="G6" i="5"/>
  <c r="H6" i="5"/>
  <c r="J6" i="5"/>
  <c r="J14" i="5" s="1"/>
  <c r="K6" i="5"/>
  <c r="K14" i="5" s="1"/>
  <c r="L6" i="5"/>
  <c r="M6" i="5"/>
  <c r="D13" i="5"/>
  <c r="E13" i="5"/>
  <c r="H13" i="5"/>
  <c r="J13" i="5"/>
  <c r="M13" i="5"/>
  <c r="M19" i="5" s="1"/>
  <c r="D14" i="5"/>
  <c r="H14" i="5"/>
  <c r="I14" i="5"/>
  <c r="L14" i="5"/>
  <c r="M14" i="5"/>
  <c r="D15" i="5"/>
  <c r="E15" i="5"/>
  <c r="F15" i="5"/>
  <c r="F16" i="5" s="1"/>
  <c r="G15" i="5"/>
  <c r="G16" i="5" s="1"/>
  <c r="H15" i="5"/>
  <c r="J15" i="5"/>
  <c r="K15" i="5"/>
  <c r="K16" i="5" s="1"/>
  <c r="L15" i="5"/>
  <c r="L16" i="5" s="1"/>
  <c r="M15" i="5"/>
  <c r="D16" i="5"/>
  <c r="E16" i="5"/>
  <c r="H16" i="5"/>
  <c r="J16" i="5"/>
  <c r="M16" i="5"/>
  <c r="D19" i="5"/>
  <c r="D23" i="5" s="1"/>
  <c r="D24" i="5" s="1"/>
  <c r="D26" i="5" s="1"/>
  <c r="D28" i="5" s="1"/>
  <c r="D29" i="5" s="1"/>
  <c r="D30" i="5" s="1"/>
  <c r="D31" i="5" s="1"/>
  <c r="H19" i="5"/>
  <c r="H23" i="5" s="1"/>
  <c r="H24" i="5" s="1"/>
  <c r="H26" i="5" s="1"/>
  <c r="H28" i="5" s="1"/>
  <c r="H29" i="5" s="1"/>
  <c r="H30" i="5" s="1"/>
  <c r="H31" i="5" s="1"/>
  <c r="I19" i="5"/>
  <c r="I28" i="5"/>
  <c r="J28" i="5"/>
  <c r="J31" i="5" s="1"/>
  <c r="I31" i="5"/>
  <c r="I32" i="5"/>
  <c r="I33" i="5" s="1"/>
  <c r="D36" i="5"/>
  <c r="E36" i="5"/>
  <c r="F36" i="5"/>
  <c r="G36" i="5"/>
  <c r="H36" i="5"/>
  <c r="K36" i="5"/>
  <c r="L36" i="5"/>
  <c r="I37" i="5"/>
  <c r="C19" i="12" l="1"/>
  <c r="G23" i="12"/>
  <c r="G24" i="12" s="1"/>
  <c r="G26" i="12"/>
  <c r="G28" i="12" s="1"/>
  <c r="G29" i="12" s="1"/>
  <c r="G30" i="12" s="1"/>
  <c r="G31" i="12" s="1"/>
  <c r="D23" i="12"/>
  <c r="D24" i="12" s="1"/>
  <c r="D26" i="12" s="1"/>
  <c r="D28" i="12" s="1"/>
  <c r="D29" i="12" s="1"/>
  <c r="D30" i="12" s="1"/>
  <c r="D31" i="12" s="1"/>
  <c r="H23" i="12"/>
  <c r="H24" i="12" s="1"/>
  <c r="H26" i="12"/>
  <c r="H28" i="12" s="1"/>
  <c r="H29" i="12" s="1"/>
  <c r="H30" i="12" s="1"/>
  <c r="H31" i="12" s="1"/>
  <c r="M23" i="12"/>
  <c r="M24" i="12" s="1"/>
  <c r="M26" i="12" s="1"/>
  <c r="M28" i="12" s="1"/>
  <c r="M29" i="12" s="1"/>
  <c r="M30" i="12" s="1"/>
  <c r="M31" i="12" s="1"/>
  <c r="I32" i="12"/>
  <c r="I33" i="12" s="1"/>
  <c r="I37" i="12"/>
  <c r="E26" i="12"/>
  <c r="E28" i="12" s="1"/>
  <c r="E29" i="12" s="1"/>
  <c r="E30" i="12" s="1"/>
  <c r="E31" i="12" s="1"/>
  <c r="E23" i="12"/>
  <c r="E24" i="12" s="1"/>
  <c r="J23" i="12"/>
  <c r="J24" i="12" s="1"/>
  <c r="J26" i="12" s="1"/>
  <c r="J37" i="12"/>
  <c r="J32" i="12"/>
  <c r="J33" i="12" s="1"/>
  <c r="F23" i="12"/>
  <c r="F24" i="12" s="1"/>
  <c r="F26" i="12" s="1"/>
  <c r="F28" i="12" s="1"/>
  <c r="F29" i="12" s="1"/>
  <c r="F30" i="12" s="1"/>
  <c r="F31" i="12" s="1"/>
  <c r="K26" i="12"/>
  <c r="K28" i="12" s="1"/>
  <c r="K29" i="12" s="1"/>
  <c r="K30" i="12" s="1"/>
  <c r="K31" i="12" s="1"/>
  <c r="K23" i="12"/>
  <c r="K24" i="12" s="1"/>
  <c r="O13" i="12"/>
  <c r="O19" i="12" s="1"/>
  <c r="L13" i="12"/>
  <c r="L19" i="12" s="1"/>
  <c r="W10" i="5"/>
  <c r="E19" i="5"/>
  <c r="E23" i="5" s="1"/>
  <c r="D32" i="5"/>
  <c r="D33" i="5" s="1"/>
  <c r="D37" i="5"/>
  <c r="F19" i="5"/>
  <c r="J19" i="5"/>
  <c r="H32" i="5"/>
  <c r="H33" i="5" s="1"/>
  <c r="H37" i="5"/>
  <c r="L19" i="5"/>
  <c r="J32" i="5"/>
  <c r="J33" i="5" s="1"/>
  <c r="J37" i="5"/>
  <c r="M23" i="5"/>
  <c r="M24" i="5" s="1"/>
  <c r="M26" i="5" s="1"/>
  <c r="M28" i="5" s="1"/>
  <c r="M29" i="5" s="1"/>
  <c r="M30" i="5" s="1"/>
  <c r="M31" i="5" s="1"/>
  <c r="K19" i="5"/>
  <c r="G14" i="5"/>
  <c r="G19" i="5" s="1"/>
  <c r="AP18" i="7"/>
  <c r="AO5" i="7"/>
  <c r="AP5" i="7" s="1"/>
  <c r="AO6" i="7"/>
  <c r="AP6" i="7" s="1"/>
  <c r="AO7" i="7"/>
  <c r="AP7" i="7" s="1"/>
  <c r="AO8" i="7"/>
  <c r="AP8" i="7" s="1"/>
  <c r="AO9" i="7"/>
  <c r="AP9" i="7" s="1"/>
  <c r="AO10" i="7"/>
  <c r="AP10" i="7" s="1"/>
  <c r="AO11" i="7"/>
  <c r="AP11" i="7" s="1"/>
  <c r="AO12" i="7"/>
  <c r="AP12" i="7" s="1"/>
  <c r="AO13" i="7"/>
  <c r="AP13" i="7" s="1"/>
  <c r="AO14" i="7"/>
  <c r="AP14" i="7" s="1"/>
  <c r="AO15" i="7"/>
  <c r="AP15" i="7" s="1"/>
  <c r="AO16" i="7"/>
  <c r="AP16" i="7" s="1"/>
  <c r="AO4" i="7"/>
  <c r="AP4" i="7" s="1"/>
  <c r="AN17" i="7"/>
  <c r="L14" i="6"/>
  <c r="L17" i="6" s="1"/>
  <c r="M5" i="10" s="1"/>
  <c r="O28" i="10"/>
  <c r="O29" i="10" s="1"/>
  <c r="L37" i="10"/>
  <c r="K37" i="10"/>
  <c r="D37" i="10"/>
  <c r="E37" i="10"/>
  <c r="F37" i="10"/>
  <c r="G37" i="10"/>
  <c r="H37" i="10"/>
  <c r="C37" i="10"/>
  <c r="AL5" i="7"/>
  <c r="AL6" i="7"/>
  <c r="AL7" i="7"/>
  <c r="AL8" i="7"/>
  <c r="AL9" i="7"/>
  <c r="AL10" i="7"/>
  <c r="AL11" i="7"/>
  <c r="AL12" i="7"/>
  <c r="AL13" i="7"/>
  <c r="AL14" i="7"/>
  <c r="AL15" i="7"/>
  <c r="AL16" i="7"/>
  <c r="AL4" i="7"/>
  <c r="AK17" i="7"/>
  <c r="D32" i="12" l="1"/>
  <c r="D33" i="12" s="1"/>
  <c r="D37" i="12"/>
  <c r="M32" i="12"/>
  <c r="M33" i="12" s="1"/>
  <c r="M37" i="12"/>
  <c r="F37" i="12"/>
  <c r="F32" i="12"/>
  <c r="F33" i="12" s="1"/>
  <c r="G37" i="12"/>
  <c r="G32" i="12"/>
  <c r="G33" i="12" s="1"/>
  <c r="E32" i="12"/>
  <c r="E33" i="12" s="1"/>
  <c r="E37" i="12"/>
  <c r="H32" i="12"/>
  <c r="H33" i="12" s="1"/>
  <c r="H37" i="12"/>
  <c r="O26" i="12"/>
  <c r="O28" i="12" s="1"/>
  <c r="O29" i="12" s="1"/>
  <c r="O30" i="12" s="1"/>
  <c r="O31" i="12" s="1"/>
  <c r="O23" i="12"/>
  <c r="O24" i="12" s="1"/>
  <c r="K37" i="12"/>
  <c r="K32" i="12"/>
  <c r="K33" i="12" s="1"/>
  <c r="L23" i="12"/>
  <c r="L24" i="12" s="1"/>
  <c r="L26" i="12" s="1"/>
  <c r="L28" i="12" s="1"/>
  <c r="L29" i="12" s="1"/>
  <c r="L30" i="12" s="1"/>
  <c r="L31" i="12" s="1"/>
  <c r="C23" i="12"/>
  <c r="C24" i="12" s="1"/>
  <c r="C26" i="12"/>
  <c r="C28" i="12" s="1"/>
  <c r="E24" i="5"/>
  <c r="E26" i="5" s="1"/>
  <c r="E28" i="5" s="1"/>
  <c r="E29" i="5" s="1"/>
  <c r="E30" i="5" s="1"/>
  <c r="E31" i="5" s="1"/>
  <c r="O24" i="5"/>
  <c r="O26" i="5" s="1"/>
  <c r="O28" i="5" s="1"/>
  <c r="O29" i="5" s="1"/>
  <c r="O30" i="5" s="1"/>
  <c r="O31" i="5" s="1"/>
  <c r="M32" i="5"/>
  <c r="M33" i="5" s="1"/>
  <c r="M37" i="5"/>
  <c r="G23" i="5"/>
  <c r="G24" i="5" s="1"/>
  <c r="G26" i="5" s="1"/>
  <c r="G28" i="5" s="1"/>
  <c r="G29" i="5" s="1"/>
  <c r="G30" i="5" s="1"/>
  <c r="G31" i="5" s="1"/>
  <c r="F23" i="5"/>
  <c r="F24" i="5" s="1"/>
  <c r="F26" i="5" s="1"/>
  <c r="F28" i="5" s="1"/>
  <c r="F29" i="5" s="1"/>
  <c r="F30" i="5" s="1"/>
  <c r="F31" i="5" s="1"/>
  <c r="J26" i="5"/>
  <c r="J23" i="5"/>
  <c r="J24" i="5" s="1"/>
  <c r="K23" i="5"/>
  <c r="K24" i="5" s="1"/>
  <c r="K26" i="5"/>
  <c r="K28" i="5" s="1"/>
  <c r="K29" i="5" s="1"/>
  <c r="K30" i="5" s="1"/>
  <c r="K31" i="5" s="1"/>
  <c r="L23" i="5"/>
  <c r="L24" i="5" s="1"/>
  <c r="L26" i="5" s="1"/>
  <c r="L28" i="5" s="1"/>
  <c r="L29" i="5" s="1"/>
  <c r="L30" i="5" s="1"/>
  <c r="L31" i="5" s="1"/>
  <c r="AO17" i="7"/>
  <c r="AP17" i="7" s="1"/>
  <c r="AL17" i="7"/>
  <c r="N37" i="10"/>
  <c r="N15" i="10"/>
  <c r="N16" i="10" s="1"/>
  <c r="N14" i="10"/>
  <c r="N13" i="10"/>
  <c r="L32" i="12" l="1"/>
  <c r="L33" i="12" s="1"/>
  <c r="L37" i="12"/>
  <c r="N28" i="12"/>
  <c r="C29" i="12"/>
  <c r="C30" i="12" s="1"/>
  <c r="C31" i="12" s="1"/>
  <c r="O37" i="12"/>
  <c r="O32" i="12"/>
  <c r="O33" i="12" s="1"/>
  <c r="P31" i="5"/>
  <c r="E32" i="5"/>
  <c r="E37" i="5"/>
  <c r="O37" i="5"/>
  <c r="O32" i="5"/>
  <c r="O33" i="5" s="1"/>
  <c r="L32" i="5"/>
  <c r="L33" i="5" s="1"/>
  <c r="L37" i="5"/>
  <c r="F32" i="5"/>
  <c r="F33" i="5" s="1"/>
  <c r="F37" i="5"/>
  <c r="G32" i="5"/>
  <c r="G33" i="5" s="1"/>
  <c r="G37" i="5"/>
  <c r="K32" i="5"/>
  <c r="K33" i="5" s="1"/>
  <c r="K37" i="5"/>
  <c r="O31" i="10"/>
  <c r="O30" i="10"/>
  <c r="O38" i="10"/>
  <c r="N19" i="10"/>
  <c r="I28" i="10"/>
  <c r="I29" i="10" s="1"/>
  <c r="M15" i="10"/>
  <c r="M16" i="10" s="1"/>
  <c r="L15" i="10"/>
  <c r="L16" i="10" s="1"/>
  <c r="K15" i="10"/>
  <c r="K16" i="10" s="1"/>
  <c r="J15" i="10"/>
  <c r="J16" i="10" s="1"/>
  <c r="H15" i="10"/>
  <c r="H16" i="10" s="1"/>
  <c r="G15" i="10"/>
  <c r="G16" i="10" s="1"/>
  <c r="F15" i="10"/>
  <c r="F16" i="10" s="1"/>
  <c r="E15" i="10"/>
  <c r="E16" i="10" s="1"/>
  <c r="D15" i="10"/>
  <c r="D16" i="10" s="1"/>
  <c r="I14" i="10"/>
  <c r="I19" i="10" s="1"/>
  <c r="M13" i="10"/>
  <c r="J13" i="10"/>
  <c r="K10" i="9"/>
  <c r="K42" i="9"/>
  <c r="K33" i="9"/>
  <c r="K22" i="9"/>
  <c r="F42" i="9"/>
  <c r="F33" i="9"/>
  <c r="F22" i="9"/>
  <c r="C37" i="12" l="1"/>
  <c r="N37" i="12" s="1"/>
  <c r="N31" i="12"/>
  <c r="C33" i="12"/>
  <c r="C32" i="12"/>
  <c r="E33" i="5"/>
  <c r="P33" i="5" s="1"/>
  <c r="P32" i="5"/>
  <c r="O32" i="10"/>
  <c r="O33" i="10"/>
  <c r="I31" i="10"/>
  <c r="I38" i="10" s="1"/>
  <c r="P37" i="10"/>
  <c r="N23" i="10"/>
  <c r="N24" i="10" s="1"/>
  <c r="N26" i="10" s="1"/>
  <c r="N28" i="10" s="1"/>
  <c r="N29" i="10" s="1"/>
  <c r="G9" i="9"/>
  <c r="H9" i="9" s="1"/>
  <c r="G8" i="9"/>
  <c r="I8" i="9" s="1"/>
  <c r="K8" i="9" s="1"/>
  <c r="L7" i="9"/>
  <c r="H7" i="9"/>
  <c r="I7" i="9" s="1"/>
  <c r="K7" i="9" s="1"/>
  <c r="G7" i="9"/>
  <c r="G6" i="9"/>
  <c r="H6" i="9" s="1"/>
  <c r="I6" i="9" s="1"/>
  <c r="K6" i="9" s="1"/>
  <c r="G5" i="9"/>
  <c r="G4" i="9"/>
  <c r="H4" i="9" s="1"/>
  <c r="I4" i="9" s="1"/>
  <c r="K4" i="9" s="1"/>
  <c r="G3" i="9"/>
  <c r="H3" i="9" s="1"/>
  <c r="I3" i="9" s="1"/>
  <c r="K3" i="9" s="1"/>
  <c r="G2" i="9"/>
  <c r="H2" i="9" s="1"/>
  <c r="I2" i="9" s="1"/>
  <c r="K2" i="9" s="1"/>
  <c r="H5" i="9"/>
  <c r="I5" i="9" s="1"/>
  <c r="K5" i="9" s="1"/>
  <c r="I9" i="9"/>
  <c r="K9" i="9" s="1"/>
  <c r="K44" i="9" l="1"/>
  <c r="H8" i="9"/>
  <c r="I32" i="10"/>
  <c r="I33" i="10"/>
  <c r="AA17" i="7"/>
  <c r="N30" i="10" l="1"/>
  <c r="N31" i="10"/>
  <c r="AM17" i="7"/>
  <c r="N32" i="10" l="1"/>
  <c r="N33" i="10"/>
  <c r="N38" i="10"/>
  <c r="C5" i="5" l="1"/>
  <c r="B18" i="6"/>
  <c r="C6" i="10" s="1"/>
  <c r="B17" i="6"/>
  <c r="C5" i="10" s="1"/>
  <c r="D17" i="6"/>
  <c r="E5" i="10" s="1"/>
  <c r="E13" i="10" s="1"/>
  <c r="E17" i="6"/>
  <c r="F5" i="10" s="1"/>
  <c r="F13" i="10" s="1"/>
  <c r="F17" i="6"/>
  <c r="G5" i="10" s="1"/>
  <c r="G13" i="10" s="1"/>
  <c r="G17" i="6"/>
  <c r="H5" i="10" s="1"/>
  <c r="H13" i="10" s="1"/>
  <c r="H17" i="6"/>
  <c r="I17" i="6"/>
  <c r="J17" i="6"/>
  <c r="K5" i="10" s="1"/>
  <c r="K13" i="10" s="1"/>
  <c r="K17" i="6"/>
  <c r="L5" i="10" s="1"/>
  <c r="L13" i="10" s="1"/>
  <c r="C17" i="6"/>
  <c r="D5" i="10" s="1"/>
  <c r="D13" i="10" s="1"/>
  <c r="C13" i="10" l="1"/>
  <c r="P5" i="10"/>
  <c r="C14" i="10"/>
  <c r="C19" i="10" s="1"/>
  <c r="C23" i="10" s="1"/>
  <c r="C24" i="10" s="1"/>
  <c r="C26" i="10" s="1"/>
  <c r="C28" i="10" s="1"/>
  <c r="C29" i="10" s="1"/>
  <c r="C6" i="5"/>
  <c r="C14" i="5" s="1"/>
  <c r="C13" i="5"/>
  <c r="D18" i="6"/>
  <c r="E18" i="6"/>
  <c r="F18" i="6"/>
  <c r="G18" i="6"/>
  <c r="H18" i="6"/>
  <c r="I18" i="6"/>
  <c r="J18" i="6"/>
  <c r="K18" i="6"/>
  <c r="L18" i="6"/>
  <c r="C18" i="6"/>
  <c r="C19" i="5" l="1"/>
  <c r="C23" i="5" s="1"/>
  <c r="C24" i="5" s="1"/>
  <c r="C26" i="5" s="1"/>
  <c r="C28" i="5" s="1"/>
  <c r="N28" i="5" s="1"/>
  <c r="D6" i="10"/>
  <c r="D14" i="10" s="1"/>
  <c r="D19" i="10" s="1"/>
  <c r="D23" i="10" s="1"/>
  <c r="D24" i="10" s="1"/>
  <c r="D26" i="10" s="1"/>
  <c r="D28" i="10" s="1"/>
  <c r="D29" i="10" s="1"/>
  <c r="F6" i="10"/>
  <c r="F14" i="10" s="1"/>
  <c r="F19" i="10" s="1"/>
  <c r="F23" i="10" s="1"/>
  <c r="F24" i="10" s="1"/>
  <c r="F26" i="10" s="1"/>
  <c r="F28" i="10" s="1"/>
  <c r="F29" i="10" s="1"/>
  <c r="L6" i="10"/>
  <c r="L14" i="10" s="1"/>
  <c r="L19" i="10" s="1"/>
  <c r="L23" i="10" s="1"/>
  <c r="L24" i="10" s="1"/>
  <c r="L26" i="10" s="1"/>
  <c r="L28" i="10" s="1"/>
  <c r="L29" i="10" s="1"/>
  <c r="H6" i="10"/>
  <c r="H14" i="10" s="1"/>
  <c r="H19" i="10" s="1"/>
  <c r="H23" i="10" s="1"/>
  <c r="H24" i="10" s="1"/>
  <c r="H26" i="10" s="1"/>
  <c r="H28" i="10" s="1"/>
  <c r="H29" i="10" s="1"/>
  <c r="K6" i="10"/>
  <c r="K14" i="10" s="1"/>
  <c r="K19" i="10" s="1"/>
  <c r="K23" i="10" s="1"/>
  <c r="K24" i="10" s="1"/>
  <c r="K26" i="10" s="1"/>
  <c r="K28" i="10" s="1"/>
  <c r="K29" i="10" s="1"/>
  <c r="G6" i="10"/>
  <c r="G14" i="10" s="1"/>
  <c r="G19" i="10" s="1"/>
  <c r="G23" i="10" s="1"/>
  <c r="G24" i="10" s="1"/>
  <c r="G26" i="10" s="1"/>
  <c r="G28" i="10" s="1"/>
  <c r="G29" i="10" s="1"/>
  <c r="C30" i="10"/>
  <c r="C31" i="10"/>
  <c r="J6" i="10"/>
  <c r="J14" i="10" s="1"/>
  <c r="J19" i="10" s="1"/>
  <c r="J23" i="10" s="1"/>
  <c r="J24" i="10" s="1"/>
  <c r="J26" i="10" s="1"/>
  <c r="J28" i="10" s="1"/>
  <c r="J29" i="10" s="1"/>
  <c r="J31" i="10" s="1"/>
  <c r="M6" i="10"/>
  <c r="M14" i="10" s="1"/>
  <c r="M19" i="10" s="1"/>
  <c r="M23" i="10" s="1"/>
  <c r="M24" i="10" s="1"/>
  <c r="M26" i="10" s="1"/>
  <c r="M28" i="10" s="1"/>
  <c r="M29" i="10" s="1"/>
  <c r="E6" i="10"/>
  <c r="E14" i="10" s="1"/>
  <c r="E19" i="10" s="1"/>
  <c r="E23" i="10" s="1"/>
  <c r="E24" i="10" s="1"/>
  <c r="E26" i="10" s="1"/>
  <c r="E28" i="10" s="1"/>
  <c r="E29" i="10" s="1"/>
  <c r="E31" i="6"/>
  <c r="L31" i="6"/>
  <c r="K31" i="6"/>
  <c r="K35" i="6"/>
  <c r="G35" i="6"/>
  <c r="G31" i="6"/>
  <c r="D35" i="6"/>
  <c r="D31" i="6"/>
  <c r="J38" i="10" l="1"/>
  <c r="J32" i="10"/>
  <c r="J33" i="10"/>
  <c r="H31" i="10"/>
  <c r="H30" i="10"/>
  <c r="P28" i="10"/>
  <c r="E31" i="10"/>
  <c r="E30" i="10"/>
  <c r="K31" i="10"/>
  <c r="K30" i="10"/>
  <c r="L30" i="10"/>
  <c r="L31" i="10"/>
  <c r="F30" i="10"/>
  <c r="F31" i="10"/>
  <c r="G30" i="10"/>
  <c r="G31" i="10"/>
  <c r="M30" i="10"/>
  <c r="M31" i="10"/>
  <c r="C38" i="10"/>
  <c r="C33" i="10"/>
  <c r="C32" i="10"/>
  <c r="C29" i="5"/>
  <c r="C30" i="5" s="1"/>
  <c r="C31" i="5" s="1"/>
  <c r="C36" i="5"/>
  <c r="N36" i="5" s="1"/>
  <c r="K27" i="2"/>
  <c r="K26" i="2"/>
  <c r="K25" i="2"/>
  <c r="K24" i="2"/>
  <c r="K23" i="2"/>
  <c r="C32" i="5" l="1"/>
  <c r="N31" i="5"/>
  <c r="M33" i="10"/>
  <c r="M38" i="10"/>
  <c r="M32" i="10"/>
  <c r="E33" i="10"/>
  <c r="E32" i="10"/>
  <c r="E38" i="10"/>
  <c r="H38" i="10"/>
  <c r="H32" i="10"/>
  <c r="H33" i="10"/>
  <c r="F32" i="10"/>
  <c r="F38" i="10"/>
  <c r="F33" i="10"/>
  <c r="K32" i="10"/>
  <c r="K33" i="10"/>
  <c r="K38" i="10"/>
  <c r="D30" i="10"/>
  <c r="D31" i="10"/>
  <c r="P29" i="10"/>
  <c r="G33" i="10"/>
  <c r="G38" i="10"/>
  <c r="G32" i="10"/>
  <c r="L32" i="10"/>
  <c r="L33" i="10"/>
  <c r="L38" i="10"/>
  <c r="C33" i="5"/>
  <c r="I1" i="2"/>
  <c r="H1" i="2" s="1"/>
  <c r="G1" i="2" s="1"/>
  <c r="D32" i="10" l="1"/>
  <c r="D33" i="10"/>
  <c r="D38" i="10"/>
  <c r="P38" i="10" s="1"/>
  <c r="P31" i="10"/>
  <c r="P40" i="10" s="1"/>
  <c r="C37" i="5" l="1"/>
  <c r="N37" i="5" s="1"/>
  <c r="C12" i="2"/>
  <c r="M4" i="2"/>
  <c r="M5" i="2"/>
  <c r="M6" i="2"/>
  <c r="M7" i="2"/>
  <c r="M8" i="2"/>
  <c r="M9" i="2"/>
  <c r="M10" i="2"/>
  <c r="M11" i="2"/>
  <c r="M12" i="2"/>
  <c r="M13" i="2"/>
  <c r="L4" i="2"/>
  <c r="L5" i="2"/>
  <c r="L6" i="2"/>
  <c r="L7" i="2"/>
  <c r="L8" i="2"/>
  <c r="L9" i="2"/>
  <c r="L10" i="2"/>
  <c r="L11" i="2"/>
  <c r="L12" i="2"/>
  <c r="L13" i="2"/>
  <c r="K4" i="2"/>
  <c r="K5" i="2"/>
  <c r="K6" i="2"/>
  <c r="K7" i="2"/>
  <c r="K8" i="2"/>
  <c r="K9" i="2"/>
  <c r="K10" i="2"/>
  <c r="K11" i="2"/>
  <c r="K12" i="2"/>
  <c r="K13" i="2"/>
  <c r="L3" i="2"/>
  <c r="K3" i="2"/>
  <c r="M3" i="2"/>
  <c r="N3" i="2" s="1"/>
  <c r="N12" i="2" l="1"/>
  <c r="Q12" i="2" s="1"/>
  <c r="N10" i="2"/>
  <c r="Q10" i="2" s="1"/>
  <c r="N8" i="2"/>
  <c r="Q8" i="2" s="1"/>
  <c r="N6" i="2"/>
  <c r="Q6" i="2" s="1"/>
  <c r="N4" i="2"/>
  <c r="Q4" i="2" s="1"/>
  <c r="N13" i="2"/>
  <c r="Q13" i="2" s="1"/>
  <c r="N11" i="2"/>
  <c r="Q11" i="2" s="1"/>
  <c r="N9" i="2"/>
  <c r="Q9" i="2" s="1"/>
  <c r="N7" i="2"/>
  <c r="Q7" i="2" s="1"/>
  <c r="N5" i="2"/>
  <c r="Q5" i="2" s="1"/>
  <c r="Q3" i="2"/>
  <c r="T7" i="2" l="1"/>
  <c r="U7" i="2" s="1"/>
  <c r="V7" i="2" s="1"/>
  <c r="W7" i="2" s="1"/>
  <c r="X7" i="2" s="1"/>
  <c r="T11" i="2"/>
  <c r="U11" i="2" s="1"/>
  <c r="V11" i="2" s="1"/>
  <c r="W11" i="2" s="1"/>
  <c r="X11" i="2" s="1"/>
  <c r="T4" i="2"/>
  <c r="U4" i="2" s="1"/>
  <c r="V4" i="2" s="1"/>
  <c r="W4" i="2" s="1"/>
  <c r="X4" i="2" s="1"/>
  <c r="T8" i="2"/>
  <c r="U8" i="2" s="1"/>
  <c r="V8" i="2" s="1"/>
  <c r="W8" i="2" s="1"/>
  <c r="X8" i="2" s="1"/>
  <c r="T12" i="2"/>
  <c r="U12" i="2" s="1"/>
  <c r="V12" i="2" s="1"/>
  <c r="W12" i="2" s="1"/>
  <c r="X12" i="2" s="1"/>
  <c r="T5" i="2"/>
  <c r="U5" i="2" s="1"/>
  <c r="V5" i="2" s="1"/>
  <c r="W5" i="2" s="1"/>
  <c r="X5" i="2" s="1"/>
  <c r="T9" i="2"/>
  <c r="U9" i="2" s="1"/>
  <c r="V9" i="2" s="1"/>
  <c r="W9" i="2" s="1"/>
  <c r="X9" i="2" s="1"/>
  <c r="T13" i="2"/>
  <c r="U13" i="2" s="1"/>
  <c r="V13" i="2" s="1"/>
  <c r="W13" i="2" s="1"/>
  <c r="X13" i="2" s="1"/>
  <c r="T6" i="2"/>
  <c r="U6" i="2" s="1"/>
  <c r="V6" i="2" s="1"/>
  <c r="W6" i="2" s="1"/>
  <c r="X6" i="2" s="1"/>
  <c r="T10" i="2"/>
  <c r="U10" i="2" s="1"/>
  <c r="V10" i="2" s="1"/>
  <c r="W10" i="2" s="1"/>
  <c r="X10" i="2" s="1"/>
  <c r="T3" i="2"/>
  <c r="U3" i="2" s="1"/>
  <c r="V3" i="2" s="1"/>
  <c r="W3" i="2" s="1"/>
  <c r="E28" i="1"/>
  <c r="X3" i="2" l="1"/>
  <c r="C38" i="1"/>
  <c r="E27" i="1"/>
  <c r="E22" i="1"/>
  <c r="E21" i="1"/>
  <c r="C19" i="1"/>
  <c r="C20" i="1" s="1"/>
  <c r="E20" i="1" s="1"/>
  <c r="C16" i="1"/>
  <c r="C15" i="1"/>
  <c r="E13" i="1"/>
  <c r="C17" i="1" l="1"/>
  <c r="C18" i="1" l="1"/>
  <c r="E18" i="1" s="1"/>
  <c r="E24" i="1" s="1"/>
  <c r="E29" i="1" s="1"/>
  <c r="E31" i="1" s="1"/>
  <c r="F18" i="1"/>
  <c r="E33" i="1" l="1"/>
  <c r="E35" i="1" s="1"/>
  <c r="G35" i="1"/>
  <c r="E38" i="1" l="1"/>
  <c r="AM18" i="7" l="1"/>
</calcChain>
</file>

<file path=xl/sharedStrings.xml><?xml version="1.0" encoding="utf-8"?>
<sst xmlns="http://schemas.openxmlformats.org/spreadsheetml/2006/main" count="571" uniqueCount="248">
  <si>
    <t>Area in Sq.Ft.</t>
  </si>
  <si>
    <t>Monthly Rent</t>
  </si>
  <si>
    <t>Maintainence</t>
  </si>
  <si>
    <t>Lesser</t>
  </si>
  <si>
    <t>Lessor</t>
  </si>
  <si>
    <t>Refundable Deposit</t>
  </si>
  <si>
    <t>Non- Refundable Deposit</t>
  </si>
  <si>
    <t>Annual Rent (monthly rent X 12)</t>
  </si>
  <si>
    <t xml:space="preserve">Add: </t>
  </si>
  <si>
    <t>Normal 3 Months Advance</t>
  </si>
  <si>
    <t>Excess/less</t>
  </si>
  <si>
    <t>Rate of Interest</t>
  </si>
  <si>
    <t xml:space="preserve">Interest </t>
  </si>
  <si>
    <t>Non- refundable deposite</t>
  </si>
  <si>
    <t>total Term</t>
  </si>
  <si>
    <t>deposite per year</t>
  </si>
  <si>
    <t>Total (GARI)</t>
  </si>
  <si>
    <t>Gross Annual Rent Income (GARI)</t>
  </si>
  <si>
    <t>Tax Paid by Tenant</t>
  </si>
  <si>
    <t>Government Taxes per year</t>
  </si>
  <si>
    <t>Maintaince Paid By Tenant</t>
  </si>
  <si>
    <t>Outgoings</t>
  </si>
  <si>
    <t>Tax Paid by Owner</t>
  </si>
  <si>
    <t>Maintaince Paid By Owner</t>
  </si>
  <si>
    <t>other Charge (15% of GARI)</t>
  </si>
  <si>
    <t>Total (Outgoing)</t>
  </si>
  <si>
    <t>Net Annual Rent Income (GARI - Outgoing)</t>
  </si>
  <si>
    <t xml:space="preserve">Capilised Value of Property </t>
  </si>
  <si>
    <t>Sq.Ft.</t>
  </si>
  <si>
    <t xml:space="preserve">Rate per </t>
  </si>
  <si>
    <t>NARI X 4%</t>
  </si>
  <si>
    <t>Sr.No.</t>
  </si>
  <si>
    <t>Name Of Property</t>
  </si>
  <si>
    <t>Cine Max-Andheri €</t>
  </si>
  <si>
    <t>Interest on Excess Deposite If Any</t>
  </si>
  <si>
    <t>Rate /Sq.Ft.</t>
  </si>
  <si>
    <t>Cine Prime Mira Road</t>
  </si>
  <si>
    <t>Cineline Goregaon</t>
  </si>
  <si>
    <t>Cineline Kandivli</t>
  </si>
  <si>
    <t>Cineline Nasik</t>
  </si>
  <si>
    <t>Cineline Sion Circle</t>
  </si>
  <si>
    <t>Cineline Windmilll</t>
  </si>
  <si>
    <t>Eternity mall thane</t>
  </si>
  <si>
    <t>wondermall thane</t>
  </si>
  <si>
    <t xml:space="preserve">Capitalised Value of Property </t>
  </si>
  <si>
    <t>theatre nagpur</t>
  </si>
  <si>
    <t>eternity mall giggles nagpur</t>
  </si>
  <si>
    <t>Giggles Play zones</t>
  </si>
  <si>
    <t>Parking</t>
  </si>
  <si>
    <t>Advertising</t>
  </si>
  <si>
    <t>Mobile Towers</t>
  </si>
  <si>
    <t>Revenue Sharing</t>
  </si>
  <si>
    <t>Shops Rent</t>
  </si>
  <si>
    <t>Rent Deposits</t>
  </si>
  <si>
    <t>boomrang</t>
  </si>
  <si>
    <t>1st April 2017</t>
  </si>
  <si>
    <t>31st March 2018</t>
  </si>
  <si>
    <t>1st April 2018</t>
  </si>
  <si>
    <t>1st April 2019</t>
  </si>
  <si>
    <t>1st April 2020</t>
  </si>
  <si>
    <t>1st April 2021</t>
  </si>
  <si>
    <t>31st March 2019</t>
  </si>
  <si>
    <t>31st March 2020</t>
  </si>
  <si>
    <t>31st March 2021</t>
  </si>
  <si>
    <t>31st March 2022</t>
  </si>
  <si>
    <t>Total Rent</t>
  </si>
  <si>
    <t>Deposits</t>
  </si>
  <si>
    <t>Actual Advacne Paid</t>
  </si>
  <si>
    <t xml:space="preserve">Previous Rate given </t>
  </si>
  <si>
    <t xml:space="preserve">Previous value </t>
  </si>
  <si>
    <t>Present Value</t>
  </si>
  <si>
    <t>Difference</t>
  </si>
  <si>
    <t xml:space="preserve">Area </t>
  </si>
  <si>
    <t>in Rs.</t>
  </si>
  <si>
    <t>in years</t>
  </si>
  <si>
    <t>@ 4% Investment</t>
  </si>
  <si>
    <t>in Sq. Ft.</t>
  </si>
  <si>
    <r>
      <t xml:space="preserve">in </t>
    </r>
    <r>
      <rPr>
        <sz val="11"/>
        <color rgb="FF000000"/>
        <rFont val="Rupee Foradian"/>
        <family val="2"/>
      </rPr>
      <t>`</t>
    </r>
  </si>
  <si>
    <t>Maintenance</t>
  </si>
  <si>
    <t>Per anum.</t>
  </si>
  <si>
    <t>Interest on Excess Deposit If Any</t>
  </si>
  <si>
    <t>Non- refundable deposit</t>
  </si>
  <si>
    <t>Deposit per year</t>
  </si>
  <si>
    <t>Maintenance Paid By Tenant</t>
  </si>
  <si>
    <t>Maintenance Paid By Owner</t>
  </si>
  <si>
    <t xml:space="preserve">Capitalized Value of Property </t>
  </si>
  <si>
    <t>Rate /Sq. Ft.</t>
  </si>
  <si>
    <t>Say</t>
  </si>
  <si>
    <t>realizable value</t>
  </si>
  <si>
    <t>Distress value</t>
  </si>
  <si>
    <t>Particulars of Income Considereds</t>
  </si>
  <si>
    <t>Cine Max-Andheri (East)</t>
  </si>
  <si>
    <t>Net Parking Income</t>
  </si>
  <si>
    <t>Remarks</t>
  </si>
  <si>
    <t>Security Deposit for parking</t>
  </si>
  <si>
    <t>Security Expenses for the month and year are same</t>
  </si>
  <si>
    <t>Security Expenses for the month is 52500 and per year is 105000</t>
  </si>
  <si>
    <t>Cineline Windmilll Sangali</t>
  </si>
  <si>
    <t>Cineline Windmilll Porbandar</t>
  </si>
  <si>
    <t>Hoarding Rental</t>
  </si>
  <si>
    <t>Hoarding Security</t>
  </si>
  <si>
    <t>IBS - BTS  Rental</t>
  </si>
  <si>
    <t>IBS - BTS  Deposits</t>
  </si>
  <si>
    <t>BTS Rental</t>
  </si>
  <si>
    <t>BTS Deposits</t>
  </si>
  <si>
    <t>Total</t>
  </si>
  <si>
    <t>IBS Rental</t>
  </si>
  <si>
    <t>IBS / BTS Rental</t>
  </si>
  <si>
    <t>Power Sale</t>
  </si>
  <si>
    <t>Total Rental per Annum</t>
  </si>
  <si>
    <t>Total Deposits</t>
  </si>
  <si>
    <t xml:space="preserve">Annual Rent </t>
  </si>
  <si>
    <t>eternity mall nagpur</t>
  </si>
  <si>
    <t>Other Charges (%of GARI)</t>
  </si>
  <si>
    <t xml:space="preserve"> </t>
  </si>
  <si>
    <t>Old Valuation</t>
  </si>
  <si>
    <t>in `</t>
  </si>
  <si>
    <t xml:space="preserve"> Present Value of Property </t>
  </si>
  <si>
    <t>Previous Value</t>
  </si>
  <si>
    <t xml:space="preserve">Present Total </t>
  </si>
  <si>
    <t>In Cr.</t>
  </si>
  <si>
    <r>
      <t>in</t>
    </r>
    <r>
      <rPr>
        <sz val="11"/>
        <color theme="1"/>
        <rFont val="Rupee Foradian"/>
        <family val="2"/>
      </rPr>
      <t xml:space="preserve"> `</t>
    </r>
  </si>
  <si>
    <r>
      <t xml:space="preserve">in </t>
    </r>
    <r>
      <rPr>
        <sz val="11"/>
        <color theme="1"/>
        <rFont val="Rupee Foradian"/>
        <family val="2"/>
      </rPr>
      <t>`</t>
    </r>
  </si>
  <si>
    <t>Column1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</si>
  <si>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</si>
  <si>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</si>
  <si>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</si>
  <si>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</si>
  <si>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</si>
  <si>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</si>
  <si>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</si>
  <si>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</si>
  <si>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</si>
  <si>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</si>
  <si>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</si>
  <si>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Ground Floor</t>
  </si>
  <si>
    <t>Unit No.</t>
  </si>
  <si>
    <t>G1-2, &amp; 3 - I</t>
  </si>
  <si>
    <t>G3</t>
  </si>
  <si>
    <t>G4</t>
  </si>
  <si>
    <t>G5 - G6</t>
  </si>
  <si>
    <t>G7</t>
  </si>
  <si>
    <t>G8</t>
  </si>
  <si>
    <t>G9</t>
  </si>
  <si>
    <t>G10 -G13</t>
  </si>
  <si>
    <t>First Floor</t>
  </si>
  <si>
    <t>F10-F-13</t>
  </si>
  <si>
    <t>F-1</t>
  </si>
  <si>
    <t>F2</t>
  </si>
  <si>
    <t>F-3-I</t>
  </si>
  <si>
    <t>F-3-II</t>
  </si>
  <si>
    <t>F-4, F5 &amp; F6</t>
  </si>
  <si>
    <t>F7</t>
  </si>
  <si>
    <t>F8</t>
  </si>
  <si>
    <t>F9</t>
  </si>
  <si>
    <t xml:space="preserve">Total </t>
  </si>
  <si>
    <t>Second Floor</t>
  </si>
  <si>
    <t>S-1</t>
  </si>
  <si>
    <t>S-2 &amp; 3</t>
  </si>
  <si>
    <t>R-1</t>
  </si>
  <si>
    <t>R-2-I</t>
  </si>
  <si>
    <t>R-2-II</t>
  </si>
  <si>
    <t>Food Court</t>
  </si>
  <si>
    <t>Property Address</t>
  </si>
  <si>
    <t>Andheri (East)</t>
  </si>
  <si>
    <t>Previous Rate</t>
  </si>
  <si>
    <t>Previous value</t>
  </si>
  <si>
    <t xml:space="preserve">Chargeble area as per new Leave and licence agreement </t>
  </si>
  <si>
    <t>Mira Road</t>
  </si>
  <si>
    <t xml:space="preserve">Chargeable Area as per old leave and licence agreement </t>
  </si>
  <si>
    <t>Goregaon</t>
  </si>
  <si>
    <t>Kandivali</t>
  </si>
  <si>
    <t>Nasik</t>
  </si>
  <si>
    <t>Sion</t>
  </si>
  <si>
    <t>Saleable area as per document</t>
  </si>
  <si>
    <t>Area Issue</t>
  </si>
  <si>
    <t>Total  area</t>
  </si>
  <si>
    <t>Total Area as Carpet considered for valuation</t>
  </si>
  <si>
    <t>Thane - Eternity Mall</t>
  </si>
  <si>
    <t>Thane - Wonder Mall</t>
  </si>
  <si>
    <t>Nagpur - Eternity Theater - 3rd &amp; 4th Floor</t>
  </si>
  <si>
    <t>Carpet area as per document</t>
  </si>
  <si>
    <t>Nagpur - Eternity Mall - Ground to 2nd Floor</t>
  </si>
  <si>
    <r>
      <t> </t>
    </r>
    <r>
      <rPr>
        <b/>
        <sz val="11"/>
        <color rgb="FF000000"/>
        <rFont val="Arial Narrow"/>
        <family val="2"/>
      </rPr>
      <t xml:space="preserve">Total area </t>
    </r>
  </si>
  <si>
    <t>KFC</t>
  </si>
  <si>
    <t xml:space="preserve">Samsung </t>
  </si>
  <si>
    <t>Domino's Pizza</t>
  </si>
  <si>
    <t>Amway</t>
  </si>
  <si>
    <t>Roots Saloon</t>
  </si>
  <si>
    <t>SPYKAR Jeans</t>
  </si>
  <si>
    <t>Attich. Saloon</t>
  </si>
  <si>
    <t>Globus</t>
  </si>
  <si>
    <t xml:space="preserve">Globus </t>
  </si>
  <si>
    <t>Negotiation for Potential lessee in Progress</t>
  </si>
  <si>
    <t xml:space="preserve">Negotiation for Potential </t>
  </si>
  <si>
    <t>Nike</t>
  </si>
  <si>
    <t>Tauby</t>
  </si>
  <si>
    <t>Fashion At Big Bazaar</t>
  </si>
  <si>
    <t>Jhon Player</t>
  </si>
  <si>
    <t>LEE</t>
  </si>
  <si>
    <t>I Trenz</t>
  </si>
  <si>
    <t>Destess</t>
  </si>
  <si>
    <t>Food Plaza</t>
  </si>
  <si>
    <t xml:space="preserve">Seven Max </t>
  </si>
  <si>
    <t>Capilo Spa</t>
  </si>
  <si>
    <t>Horror House</t>
  </si>
  <si>
    <t>Barbeque Nation</t>
  </si>
  <si>
    <t>Giggles</t>
  </si>
  <si>
    <t>Built up area (20%) / Area as per document considered for valuation</t>
  </si>
  <si>
    <t>Considered as chargeble area for valuation</t>
  </si>
  <si>
    <t>Boomrang, Andheri (East)</t>
  </si>
  <si>
    <t xml:space="preserve">Carpet area as per old supplement agreement  </t>
  </si>
  <si>
    <t>Carpet area as per sale agreements</t>
  </si>
  <si>
    <t>Wrong value mentioned in the report as 224350000.00</t>
  </si>
  <si>
    <t>eternity mall  + Gigglenagpur</t>
  </si>
  <si>
    <t>eternity mall &amp; giggle nagpur</t>
  </si>
  <si>
    <t>Eternity Theater Nagpur</t>
  </si>
  <si>
    <t>Cineline Theater Nagpur</t>
  </si>
  <si>
    <t>Area</t>
  </si>
  <si>
    <t>Eternity Mall Nagpur</t>
  </si>
  <si>
    <t>Boomrang, Andheri</t>
  </si>
  <si>
    <t>Chargeable Area</t>
  </si>
  <si>
    <t>eternity theater nagpur</t>
  </si>
  <si>
    <t>Previous Area</t>
  </si>
  <si>
    <t xml:space="preserve">old Valuation </t>
  </si>
  <si>
    <t>-</t>
  </si>
  <si>
    <t>Total Term</t>
  </si>
  <si>
    <t>The Fair Market Value of the Property</t>
  </si>
  <si>
    <t>The realizable value of the property</t>
  </si>
  <si>
    <t>Distress value of the property</t>
  </si>
  <si>
    <t>Insurable value of the property</t>
  </si>
  <si>
    <t>Mall Revenue Sharing</t>
  </si>
  <si>
    <t>Boomerang, Andheri (East)</t>
  </si>
  <si>
    <t>@ 5% Investment</t>
  </si>
  <si>
    <t>Value as on 31.07.2018</t>
  </si>
  <si>
    <t>Amount In CR.</t>
  </si>
  <si>
    <r>
      <t xml:space="preserve">Capitalized Value of Property @ </t>
    </r>
    <r>
      <rPr>
        <b/>
        <sz val="11"/>
        <color rgb="FFFF0000"/>
        <rFont val="Calibri"/>
        <family val="2"/>
        <scheme val="minor"/>
      </rPr>
      <t>5.50%</t>
    </r>
    <r>
      <rPr>
        <b/>
        <sz val="11"/>
        <color rgb="FF000000"/>
        <rFont val="Calibri"/>
        <family val="2"/>
        <scheme val="minor"/>
      </rPr>
      <t xml:space="preserve"> </t>
    </r>
  </si>
  <si>
    <t>Top 10 Shop - 05</t>
  </si>
  <si>
    <t>Top 10 Shop - 06</t>
  </si>
  <si>
    <t>Shop No. 5</t>
  </si>
  <si>
    <t>Shop No. 6</t>
  </si>
  <si>
    <t>MB</t>
  </si>
  <si>
    <t>PT</t>
  </si>
  <si>
    <t>JUL TO SEPT</t>
  </si>
  <si>
    <t>YEARLY</t>
  </si>
  <si>
    <t>E6</t>
  </si>
  <si>
    <t>E5</t>
  </si>
  <si>
    <t>=ROUND(IF(E6&lt;=(E5/12*3),0,(E6-(E5/12*3))*E10),0)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</si>
</sst>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sz val="11"/>
      <color rgb="FF000000"/>
      <name val="Rupee Foradian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Rupee Foradian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Arial Narrow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8B1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8B19E"/>
        <bgColor theme="8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9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164" fontId="2" fillId="0" borderId="1" xfId="1" applyNumberFormat="1" applyFont="1" applyBorder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1" borderId="0" xfId="0" applyFill="1"/>
    <xf numFmtId="9" fontId="0" fillId="11" borderId="0" xfId="0" applyNumberFormat="1" applyFill="1"/>
    <xf numFmtId="1" fontId="0" fillId="7" borderId="0" xfId="2" applyNumberFormat="1" applyFont="1" applyFill="1"/>
    <xf numFmtId="164" fontId="3" fillId="3" borderId="1" xfId="1" applyNumberFormat="1" applyFont="1" applyFill="1" applyBorder="1"/>
    <xf numFmtId="0" fontId="0" fillId="8" borderId="0" xfId="0" applyFill="1" applyAlignment="1">
      <alignment horizontal="left"/>
    </xf>
    <xf numFmtId="0" fontId="0" fillId="3" borderId="1" xfId="0" applyFill="1" applyBorder="1"/>
    <xf numFmtId="0" fontId="0" fillId="0" borderId="1" xfId="0" applyBorder="1"/>
    <xf numFmtId="0" fontId="0" fillId="10" borderId="1" xfId="0" applyFill="1" applyBorder="1"/>
    <xf numFmtId="0" fontId="0" fillId="6" borderId="1" xfId="0" applyFill="1" applyBorder="1"/>
    <xf numFmtId="0" fontId="0" fillId="7" borderId="1" xfId="0" applyFill="1" applyBorder="1"/>
    <xf numFmtId="9" fontId="0" fillId="0" borderId="1" xfId="0" applyNumberFormat="1" applyBorder="1"/>
    <xf numFmtId="0" fontId="0" fillId="8" borderId="1" xfId="0" applyFill="1" applyBorder="1"/>
    <xf numFmtId="0" fontId="0" fillId="9" borderId="1" xfId="0" applyFill="1" applyBorder="1"/>
    <xf numFmtId="43" fontId="0" fillId="0" borderId="1" xfId="0" applyNumberFormat="1" applyBorder="1"/>
    <xf numFmtId="3" fontId="0" fillId="3" borderId="1" xfId="0" applyNumberFormat="1" applyFill="1" applyBorder="1"/>
    <xf numFmtId="0" fontId="12" fillId="3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4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13" borderId="1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3" borderId="2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5" fillId="12" borderId="2" xfId="0" applyFont="1" applyFill="1" applyBorder="1" applyAlignment="1">
      <alignment vertical="top"/>
    </xf>
    <xf numFmtId="0" fontId="5" fillId="12" borderId="1" xfId="0" applyFont="1" applyFill="1" applyBorder="1" applyAlignment="1">
      <alignment vertical="top"/>
    </xf>
    <xf numFmtId="4" fontId="6" fillId="12" borderId="1" xfId="0" applyNumberFormat="1" applyFont="1" applyFill="1" applyBorder="1" applyAlignment="1">
      <alignment horizontal="right" vertical="top"/>
    </xf>
    <xf numFmtId="3" fontId="0" fillId="3" borderId="1" xfId="0" applyNumberFormat="1" applyFill="1" applyBorder="1" applyAlignment="1">
      <alignment vertical="top"/>
    </xf>
    <xf numFmtId="0" fontId="5" fillId="13" borderId="2" xfId="0" applyFont="1" applyFill="1" applyBorder="1" applyAlignment="1">
      <alignment vertical="top"/>
    </xf>
    <xf numFmtId="0" fontId="7" fillId="13" borderId="1" xfId="0" applyFont="1" applyFill="1" applyBorder="1" applyAlignment="1">
      <alignment vertical="top"/>
    </xf>
    <xf numFmtId="4" fontId="7" fillId="13" borderId="1" xfId="0" applyNumberFormat="1" applyFont="1" applyFill="1" applyBorder="1" applyAlignment="1">
      <alignment horizontal="right" vertical="top"/>
    </xf>
    <xf numFmtId="4" fontId="7" fillId="13" borderId="3" xfId="0" applyNumberFormat="1" applyFont="1" applyFill="1" applyBorder="1" applyAlignment="1">
      <alignment horizontal="right" vertical="top"/>
    </xf>
    <xf numFmtId="0" fontId="5" fillId="0" borderId="2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/>
    </xf>
    <xf numFmtId="4" fontId="7" fillId="0" borderId="3" xfId="0" applyNumberFormat="1" applyFont="1" applyBorder="1" applyAlignment="1">
      <alignment horizontal="right" vertical="top"/>
    </xf>
    <xf numFmtId="0" fontId="7" fillId="13" borderId="1" xfId="0" applyFont="1" applyFill="1" applyBorder="1" applyAlignment="1">
      <alignment horizontal="right" vertical="top"/>
    </xf>
    <xf numFmtId="0" fontId="0" fillId="0" borderId="3" xfId="0" applyBorder="1" applyAlignment="1">
      <alignment vertical="top"/>
    </xf>
    <xf numFmtId="9" fontId="7" fillId="0" borderId="1" xfId="0" applyNumberFormat="1" applyFont="1" applyBorder="1" applyAlignment="1">
      <alignment horizontal="right" vertical="top"/>
    </xf>
    <xf numFmtId="9" fontId="0" fillId="0" borderId="1" xfId="0" applyNumberFormat="1" applyBorder="1" applyAlignment="1">
      <alignment vertical="top"/>
    </xf>
    <xf numFmtId="9" fontId="0" fillId="0" borderId="3" xfId="0" applyNumberFormat="1" applyBorder="1" applyAlignment="1">
      <alignment vertical="top"/>
    </xf>
    <xf numFmtId="4" fontId="0" fillId="8" borderId="1" xfId="0" applyNumberFormat="1" applyFill="1" applyBorder="1" applyAlignment="1">
      <alignment vertical="top"/>
    </xf>
    <xf numFmtId="4" fontId="0" fillId="8" borderId="3" xfId="0" applyNumberFormat="1" applyFill="1" applyBorder="1" applyAlignment="1">
      <alignment vertical="top"/>
    </xf>
    <xf numFmtId="0" fontId="0" fillId="8" borderId="1" xfId="0" applyFill="1" applyBorder="1" applyAlignment="1">
      <alignment vertical="top"/>
    </xf>
    <xf numFmtId="0" fontId="0" fillId="8" borderId="3" xfId="0" applyFill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4" fontId="0" fillId="0" borderId="1" xfId="0" applyNumberFormat="1" applyBorder="1" applyAlignment="1">
      <alignment vertical="top"/>
    </xf>
    <xf numFmtId="4" fontId="0" fillId="0" borderId="3" xfId="0" applyNumberFormat="1" applyBorder="1" applyAlignment="1">
      <alignment vertical="top"/>
    </xf>
    <xf numFmtId="4" fontId="0" fillId="9" borderId="1" xfId="0" applyNumberFormat="1" applyFill="1" applyBorder="1" applyAlignment="1">
      <alignment vertical="top"/>
    </xf>
    <xf numFmtId="4" fontId="0" fillId="9" borderId="3" xfId="0" applyNumberFormat="1" applyFill="1" applyBorder="1" applyAlignment="1">
      <alignment vertical="top"/>
    </xf>
    <xf numFmtId="4" fontId="7" fillId="13" borderId="1" xfId="0" applyNumberFormat="1" applyFont="1" applyFill="1" applyBorder="1" applyAlignment="1">
      <alignment vertical="top"/>
    </xf>
    <xf numFmtId="0" fontId="5" fillId="13" borderId="1" xfId="0" applyFont="1" applyFill="1" applyBorder="1" applyAlignment="1">
      <alignment vertical="top"/>
    </xf>
    <xf numFmtId="4" fontId="0" fillId="7" borderId="1" xfId="0" applyNumberFormat="1" applyFill="1" applyBorder="1" applyAlignment="1">
      <alignment vertical="top"/>
    </xf>
    <xf numFmtId="4" fontId="0" fillId="7" borderId="3" xfId="0" applyNumberFormat="1" applyFill="1" applyBorder="1" applyAlignment="1">
      <alignment vertical="top"/>
    </xf>
    <xf numFmtId="165" fontId="0" fillId="0" borderId="1" xfId="0" applyNumberFormat="1" applyBorder="1" applyAlignment="1">
      <alignment vertical="top"/>
    </xf>
    <xf numFmtId="43" fontId="0" fillId="0" borderId="1" xfId="0" applyNumberFormat="1" applyBorder="1" applyAlignment="1">
      <alignment vertical="top"/>
    </xf>
    <xf numFmtId="43" fontId="0" fillId="0" borderId="3" xfId="0" applyNumberFormat="1" applyBorder="1" applyAlignment="1">
      <alignment vertical="top"/>
    </xf>
    <xf numFmtId="0" fontId="10" fillId="0" borderId="2" xfId="0" applyFont="1" applyBorder="1" applyAlignment="1">
      <alignment vertical="top"/>
    </xf>
    <xf numFmtId="49" fontId="0" fillId="3" borderId="1" xfId="0" applyNumberFormat="1" applyFill="1" applyBorder="1" applyAlignment="1">
      <alignment vertical="top"/>
    </xf>
    <xf numFmtId="4" fontId="10" fillId="0" borderId="1" xfId="0" applyNumberFormat="1" applyFont="1" applyBorder="1" applyAlignment="1">
      <alignment vertical="top"/>
    </xf>
    <xf numFmtId="43" fontId="10" fillId="0" borderId="1" xfId="0" applyNumberFormat="1" applyFont="1" applyBorder="1" applyAlignment="1">
      <alignment vertical="top"/>
    </xf>
    <xf numFmtId="43" fontId="10" fillId="0" borderId="3" xfId="0" applyNumberFormat="1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164" fontId="0" fillId="0" borderId="1" xfId="0" applyNumberFormat="1" applyBorder="1" applyAlignment="1">
      <alignment vertical="top"/>
    </xf>
    <xf numFmtId="164" fontId="0" fillId="0" borderId="3" xfId="0" applyNumberForma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164" fontId="0" fillId="0" borderId="8" xfId="0" applyNumberFormat="1" applyBorder="1" applyAlignment="1">
      <alignment vertical="top"/>
    </xf>
    <xf numFmtId="164" fontId="0" fillId="0" borderId="9" xfId="0" applyNumberFormat="1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8" fillId="0" borderId="1" xfId="0" applyFont="1" applyBorder="1"/>
    <xf numFmtId="0" fontId="16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5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1" xfId="0" applyFont="1" applyBorder="1" applyAlignment="1">
      <alignment wrapText="1"/>
    </xf>
    <xf numFmtId="0" fontId="0" fillId="15" borderId="1" xfId="0" applyFill="1" applyBorder="1" applyAlignment="1">
      <alignment vertical="top"/>
    </xf>
    <xf numFmtId="4" fontId="0" fillId="15" borderId="1" xfId="0" applyNumberFormat="1" applyFill="1" applyBorder="1" applyAlignment="1">
      <alignment vertical="top"/>
    </xf>
    <xf numFmtId="4" fontId="0" fillId="0" borderId="0" xfId="0" applyNumberFormat="1" applyAlignment="1">
      <alignment vertical="top"/>
    </xf>
    <xf numFmtId="43" fontId="0" fillId="0" borderId="0" xfId="0" applyNumberFormat="1" applyAlignment="1">
      <alignment vertical="top"/>
    </xf>
    <xf numFmtId="4" fontId="0" fillId="15" borderId="0" xfId="0" applyNumberFormat="1" applyFill="1" applyAlignment="1">
      <alignment vertical="top"/>
    </xf>
    <xf numFmtId="0" fontId="0" fillId="5" borderId="2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5" borderId="3" xfId="0" applyFill="1" applyBorder="1" applyAlignment="1">
      <alignment vertical="top"/>
    </xf>
    <xf numFmtId="0" fontId="0" fillId="5" borderId="0" xfId="0" applyFill="1" applyAlignment="1">
      <alignment vertical="top"/>
    </xf>
    <xf numFmtId="4" fontId="0" fillId="5" borderId="1" xfId="0" applyNumberFormat="1" applyFill="1" applyBorder="1" applyAlignment="1">
      <alignment vertical="top"/>
    </xf>
    <xf numFmtId="4" fontId="0" fillId="5" borderId="3" xfId="0" applyNumberFormat="1" applyFill="1" applyBorder="1" applyAlignment="1">
      <alignment vertical="top"/>
    </xf>
    <xf numFmtId="4" fontId="0" fillId="16" borderId="1" xfId="0" applyNumberFormat="1" applyFill="1" applyBorder="1" applyAlignment="1">
      <alignment vertical="top"/>
    </xf>
    <xf numFmtId="4" fontId="0" fillId="5" borderId="0" xfId="0" applyNumberFormat="1" applyFill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8" xfId="0" applyFill="1" applyBorder="1" applyAlignment="1">
      <alignment vertical="top"/>
    </xf>
    <xf numFmtId="4" fontId="0" fillId="5" borderId="8" xfId="0" applyNumberFormat="1" applyFill="1" applyBorder="1" applyAlignment="1">
      <alignment vertical="top"/>
    </xf>
    <xf numFmtId="4" fontId="0" fillId="5" borderId="9" xfId="0" applyNumberFormat="1" applyFill="1" applyBorder="1" applyAlignment="1">
      <alignment vertical="top"/>
    </xf>
    <xf numFmtId="4" fontId="0" fillId="5" borderId="10" xfId="0" applyNumberFormat="1" applyFill="1" applyBorder="1" applyAlignment="1">
      <alignment vertical="top"/>
    </xf>
    <xf numFmtId="0" fontId="10" fillId="0" borderId="2" xfId="0" applyFont="1" applyBorder="1" applyAlignment="1">
      <alignment horizontal="center"/>
    </xf>
    <xf numFmtId="2" fontId="10" fillId="0" borderId="2" xfId="0" applyNumberFormat="1" applyFont="1" applyBorder="1"/>
    <xf numFmtId="0" fontId="20" fillId="0" borderId="0" xfId="0" applyFont="1"/>
    <xf numFmtId="4" fontId="0" fillId="3" borderId="1" xfId="0" applyNumberFormat="1" applyFill="1" applyBorder="1" applyAlignment="1">
      <alignment vertical="top"/>
    </xf>
    <xf numFmtId="4" fontId="0" fillId="3" borderId="3" xfId="0" applyNumberFormat="1" applyFill="1" applyBorder="1" applyAlignment="1">
      <alignment vertical="top"/>
    </xf>
    <xf numFmtId="0" fontId="12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wrapText="1"/>
    </xf>
    <xf numFmtId="0" fontId="12" fillId="3" borderId="1" xfId="0" applyFont="1" applyFill="1" applyBorder="1" applyAlignment="1">
      <alignment horizontal="right" wrapText="1"/>
    </xf>
    <xf numFmtId="4" fontId="0" fillId="0" borderId="0" xfId="0" applyNumberFormat="1"/>
    <xf numFmtId="4" fontId="19" fillId="0" borderId="1" xfId="0" applyNumberFormat="1" applyFont="1" applyBorder="1" applyAlignment="1">
      <alignment horizontal="right" wrapText="1"/>
    </xf>
    <xf numFmtId="4" fontId="0" fillId="0" borderId="1" xfId="0" applyNumberFormat="1" applyBorder="1"/>
    <xf numFmtId="4" fontId="9" fillId="0" borderId="0" xfId="0" applyNumberFormat="1" applyFont="1"/>
    <xf numFmtId="4" fontId="10" fillId="0" borderId="1" xfId="0" applyNumberFormat="1" applyFont="1" applyBorder="1"/>
    <xf numFmtId="49" fontId="5" fillId="13" borderId="1" xfId="0" applyNumberFormat="1" applyFont="1" applyFill="1" applyBorder="1" applyAlignment="1">
      <alignment vertical="top"/>
    </xf>
    <xf numFmtId="0" fontId="0" fillId="17" borderId="0" xfId="0" applyFill="1" applyAlignment="1">
      <alignment vertical="top"/>
    </xf>
    <xf numFmtId="0" fontId="21" fillId="17" borderId="0" xfId="0" applyFont="1" applyFill="1" applyAlignment="1">
      <alignment vertical="top"/>
    </xf>
    <xf numFmtId="4" fontId="22" fillId="13" borderId="1" xfId="0" applyNumberFormat="1" applyFont="1" applyFill="1" applyBorder="1" applyAlignment="1">
      <alignment horizontal="right" vertical="top"/>
    </xf>
    <xf numFmtId="43" fontId="0" fillId="0" borderId="1" xfId="3" applyFont="1" applyBorder="1" applyAlignment="1">
      <alignment vertical="top"/>
    </xf>
    <xf numFmtId="43" fontId="0" fillId="0" borderId="0" xfId="3" applyFont="1" applyAlignment="1">
      <alignment vertical="top"/>
    </xf>
    <xf numFmtId="0" fontId="0" fillId="0" borderId="0" xfId="0" quotePrefix="1" applyAlignment="1">
      <alignment vertical="top"/>
    </xf>
    <xf numFmtId="0" fontId="0" fillId="18" borderId="1" xfId="0" applyFill="1" applyBorder="1" applyAlignment="1">
      <alignment vertical="top"/>
    </xf>
    <xf numFmtId="0" fontId="0" fillId="18" borderId="3" xfId="0" applyFill="1" applyBorder="1" applyAlignment="1">
      <alignment vertical="top"/>
    </xf>
    <xf numFmtId="0" fontId="0" fillId="18" borderId="0" xfId="0" applyFill="1" applyAlignment="1">
      <alignment vertical="top"/>
    </xf>
    <xf numFmtId="43" fontId="0" fillId="18" borderId="0" xfId="3" applyFont="1" applyFill="1" applyAlignment="1">
      <alignment vertical="top"/>
    </xf>
    <xf numFmtId="4" fontId="0" fillId="9" borderId="1" xfId="0" applyNumberFormat="1" applyFont="1" applyFill="1" applyBorder="1" applyAlignment="1">
      <alignment vertical="top"/>
    </xf>
  </cellXfs>
  <cellStyles count="4">
    <cellStyle name="Comma" xfId="3" builtinId="3"/>
    <cellStyle name="Normal" xfId="0" builtinId="0"/>
    <cellStyle name="Normal 2" xfId="1" xr:uid="{00000000-0005-0000-0000-000001000000}"/>
    <cellStyle name="Percent" xfId="2" builtinId="5"/>
  </cellStyles>
  <dxfs count="54"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top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top" textRotation="0" wrapText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top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top" textRotation="0" wrapText="0" indent="0" justifyLastLine="0" shrinkToFit="0" readingOrder="0"/>
    </dxf>
    <dxf>
      <border outline="0"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top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top" textRotation="0" wrapText="0" indent="0" justifyLastLine="0" shrinkToFit="0" readingOrder="0"/>
    </dxf>
    <dxf>
      <border outline="0"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8B19E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neline%20All%20Documents%2027.06.2018/Cine%20line%20Windmill%20Income%20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jarat"/>
      <sheetName val="Sangli"/>
      <sheetName val="Summary"/>
    </sheetNames>
    <sheetDataSet>
      <sheetData sheetId="0" refreshError="1"/>
      <sheetData sheetId="1" refreshError="1"/>
      <sheetData sheetId="2" refreshError="1">
        <row r="16">
          <cell r="B16">
            <v>42991720.559999987</v>
          </cell>
          <cell r="C16">
            <v>13301479.439999994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M37" totalsRowShown="0" headerRowDxfId="53" dataDxfId="51" headerRowBorderDxfId="52" tableBorderDxfId="50" totalsRowBorderDxfId="49">
  <tableColumns count="13">
    <tableColumn id="1" xr3:uid="{00000000-0010-0000-0000-000001000000}" name="Sr.No." dataDxfId="48"/>
    <tableColumn id="2" xr3:uid="{00000000-0010-0000-0000-000002000000}" name="Column1" dataDxfId="47"/>
    <tableColumn id="3" xr3:uid="{00000000-0010-0000-0000-000003000000}" name="1" dataDxfId="46"/>
    <tableColumn id="4" xr3:uid="{00000000-0010-0000-0000-000004000000}" name="2" dataDxfId="45"/>
    <tableColumn id="5" xr3:uid="{00000000-0010-0000-0000-000005000000}" name="3" dataDxfId="44"/>
    <tableColumn id="6" xr3:uid="{00000000-0010-0000-0000-000006000000}" name="4" dataDxfId="43"/>
    <tableColumn id="7" xr3:uid="{00000000-0010-0000-0000-000007000000}" name="5" dataDxfId="42"/>
    <tableColumn id="8" xr3:uid="{00000000-0010-0000-0000-000008000000}" name="6" dataDxfId="41"/>
    <tableColumn id="9" xr3:uid="{00000000-0010-0000-0000-000009000000}" name="7" dataDxfId="40"/>
    <tableColumn id="10" xr3:uid="{00000000-0010-0000-0000-00000A000000}" name="8" dataDxfId="39"/>
    <tableColumn id="11" xr3:uid="{00000000-0010-0000-0000-00000B000000}" name="9" dataDxfId="38"/>
    <tableColumn id="12" xr3:uid="{00000000-0010-0000-0000-00000C000000}" name="10" dataDxfId="37"/>
    <tableColumn id="13" xr3:uid="{00000000-0010-0000-0000-00000D000000}" name="11" dataDxfId="36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2:M38" totalsRowShown="0" headerRowDxfId="35" dataDxfId="33" headerRowBorderDxfId="34" tableBorderDxfId="32" totalsRowBorderDxfId="31">
  <tableColumns count="13">
    <tableColumn id="1" xr3:uid="{00000000-0010-0000-0100-000001000000}" name="Sr.No." dataDxfId="30"/>
    <tableColumn id="2" xr3:uid="{00000000-0010-0000-0100-000002000000}" name="Column1" dataDxfId="29"/>
    <tableColumn id="3" xr3:uid="{00000000-0010-0000-0100-000003000000}" name="1" dataDxfId="28"/>
    <tableColumn id="4" xr3:uid="{00000000-0010-0000-0100-000004000000}" name="2" dataDxfId="27"/>
    <tableColumn id="5" xr3:uid="{00000000-0010-0000-0100-000005000000}" name="3" dataDxfId="26"/>
    <tableColumn id="6" xr3:uid="{00000000-0010-0000-0100-000006000000}" name="4" dataDxfId="25"/>
    <tableColumn id="7" xr3:uid="{00000000-0010-0000-0100-000007000000}" name="5" dataDxfId="24"/>
    <tableColumn id="8" xr3:uid="{00000000-0010-0000-0100-000008000000}" name="6" dataDxfId="23"/>
    <tableColumn id="9" xr3:uid="{00000000-0010-0000-0100-000009000000}" name="7" dataDxfId="22"/>
    <tableColumn id="10" xr3:uid="{00000000-0010-0000-0100-00000A000000}" name="8" dataDxfId="21"/>
    <tableColumn id="11" xr3:uid="{00000000-0010-0000-0100-00000B000000}" name="9" dataDxfId="20"/>
    <tableColumn id="12" xr3:uid="{00000000-0010-0000-0100-00000C000000}" name="10" dataDxfId="19"/>
    <tableColumn id="13" xr3:uid="{00000000-0010-0000-0100-00000D000000}" name="11" dataDxfId="18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BF2571-9B1A-4DD7-AB23-8193C93C0F40}" name="Table14" displayName="Table14" ref="A2:M37" totalsRowShown="0" headerRowDxfId="17" dataDxfId="16" headerRowBorderDxfId="14" tableBorderDxfId="15" totalsRowBorderDxfId="13">
  <tableColumns count="13">
    <tableColumn id="1" xr3:uid="{3107CFB9-7633-4301-BEE2-00BE0F5A12C2}" name="Sr.No." dataDxfId="12"/>
    <tableColumn id="2" xr3:uid="{5839DF3B-0B0F-47D9-A003-6C3366CCC0AB}" name="Column1" dataDxfId="11"/>
    <tableColumn id="3" xr3:uid="{4272B13F-7D36-4CB3-9571-7A3F68206295}" name="1" dataDxfId="10"/>
    <tableColumn id="4" xr3:uid="{5F1999BE-DB18-48A1-92BC-3E2B9174C5E0}" name="2" dataDxfId="9"/>
    <tableColumn id="5" xr3:uid="{AE1B6953-6F13-4417-9838-0D9AA671E8D1}" name="3" dataDxfId="8"/>
    <tableColumn id="6" xr3:uid="{C66C0D8F-553C-48FB-9650-94E38F4C3DEA}" name="4" dataDxfId="7"/>
    <tableColumn id="7" xr3:uid="{CF81F05F-CBFD-4C4B-8D38-0A22533A1E56}" name="5" dataDxfId="6"/>
    <tableColumn id="8" xr3:uid="{65CE7917-2FA2-4D37-8822-8508392F3373}" name="6" dataDxfId="5"/>
    <tableColumn id="9" xr3:uid="{14842094-5CF8-442C-827A-8009BA0E883F}" name="7" dataDxfId="4"/>
    <tableColumn id="10" xr3:uid="{20900C9A-C5C6-4F73-875A-1E018F47B00D}" name="8" dataDxfId="3"/>
    <tableColumn id="11" xr3:uid="{E1F6E091-2C82-4CFA-93C7-382EB0014706}" name="9" dataDxfId="2"/>
    <tableColumn id="12" xr3:uid="{AF4647AB-23DC-45DA-B9B3-A2514FAA7E67}" name="10" dataDxfId="1"/>
    <tableColumn id="13" xr3:uid="{8AC259E1-E7D7-47A2-BBE9-5F5E414A2AAC}" name="11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opLeftCell="A10" workbookViewId="0">
      <selection activeCell="B16" sqref="B16"/>
    </sheetView>
  </sheetViews>
  <sheetFormatPr defaultRowHeight="15" x14ac:dyDescent="0.25"/>
  <cols>
    <col min="2" max="2" width="30" bestFit="1" customWidth="1"/>
    <col min="3" max="3" width="12.5703125" customWidth="1"/>
    <col min="5" max="5" width="12" bestFit="1" customWidth="1"/>
    <col min="7" max="7" width="10" bestFit="1" customWidth="1"/>
  </cols>
  <sheetData>
    <row r="1" spans="1:5" x14ac:dyDescent="0.25">
      <c r="C1" t="s">
        <v>3</v>
      </c>
      <c r="D1" t="s">
        <v>4</v>
      </c>
    </row>
    <row r="2" spans="1:5" x14ac:dyDescent="0.25">
      <c r="A2">
        <v>1</v>
      </c>
      <c r="B2" t="s">
        <v>0</v>
      </c>
      <c r="C2" s="8">
        <v>8200</v>
      </c>
      <c r="E2" t="s">
        <v>28</v>
      </c>
    </row>
    <row r="3" spans="1:5" x14ac:dyDescent="0.25">
      <c r="A3">
        <v>2</v>
      </c>
      <c r="B3" t="s">
        <v>1</v>
      </c>
      <c r="C3">
        <v>302298</v>
      </c>
    </row>
    <row r="4" spans="1:5" x14ac:dyDescent="0.25">
      <c r="A4">
        <v>3</v>
      </c>
      <c r="B4" t="s">
        <v>5</v>
      </c>
      <c r="C4">
        <v>0</v>
      </c>
    </row>
    <row r="5" spans="1:5" x14ac:dyDescent="0.25">
      <c r="A5">
        <v>3</v>
      </c>
      <c r="B5" t="s">
        <v>6</v>
      </c>
    </row>
    <row r="6" spans="1:5" x14ac:dyDescent="0.25">
      <c r="A6">
        <v>4</v>
      </c>
      <c r="B6" t="s">
        <v>2</v>
      </c>
    </row>
    <row r="7" spans="1:5" x14ac:dyDescent="0.25">
      <c r="A7">
        <v>5</v>
      </c>
      <c r="B7" t="s">
        <v>19</v>
      </c>
    </row>
    <row r="8" spans="1:5" x14ac:dyDescent="0.25">
      <c r="A8">
        <v>6</v>
      </c>
      <c r="B8" t="s">
        <v>11</v>
      </c>
      <c r="C8" s="1">
        <v>0.06</v>
      </c>
    </row>
    <row r="9" spans="1:5" x14ac:dyDescent="0.25">
      <c r="A9">
        <v>7</v>
      </c>
      <c r="B9" t="s">
        <v>14</v>
      </c>
      <c r="C9">
        <v>5</v>
      </c>
    </row>
    <row r="12" spans="1:5" x14ac:dyDescent="0.25">
      <c r="B12" s="2" t="s">
        <v>17</v>
      </c>
      <c r="C12" s="2"/>
      <c r="D12" s="2"/>
      <c r="E12" s="2"/>
    </row>
    <row r="13" spans="1:5" x14ac:dyDescent="0.25">
      <c r="B13" s="3" t="s">
        <v>7</v>
      </c>
      <c r="C13" s="3"/>
      <c r="D13" s="3"/>
      <c r="E13" s="3">
        <f>$C$3*12</f>
        <v>3627576</v>
      </c>
    </row>
    <row r="14" spans="1:5" x14ac:dyDescent="0.25">
      <c r="B14" s="3" t="s">
        <v>8</v>
      </c>
      <c r="C14" s="3"/>
      <c r="D14" s="3"/>
      <c r="E14" s="3"/>
    </row>
    <row r="15" spans="1:5" x14ac:dyDescent="0.25">
      <c r="B15" s="3" t="s">
        <v>67</v>
      </c>
      <c r="C15" s="3">
        <f>$C$4</f>
        <v>0</v>
      </c>
      <c r="D15" s="3"/>
      <c r="E15" s="3"/>
    </row>
    <row r="16" spans="1:5" x14ac:dyDescent="0.25">
      <c r="B16" s="3" t="s">
        <v>9</v>
      </c>
      <c r="C16" s="3">
        <f>$C$3 * 3</f>
        <v>906894</v>
      </c>
      <c r="D16" s="3"/>
      <c r="E16" s="3"/>
    </row>
    <row r="17" spans="2:6" x14ac:dyDescent="0.25">
      <c r="B17" s="3" t="s">
        <v>10</v>
      </c>
      <c r="C17" s="3">
        <f>C15-C16</f>
        <v>-906894</v>
      </c>
      <c r="D17" s="3"/>
      <c r="E17" s="3"/>
    </row>
    <row r="18" spans="2:6" x14ac:dyDescent="0.25">
      <c r="B18" s="3" t="s">
        <v>12</v>
      </c>
      <c r="C18" s="3">
        <f>C17*C8</f>
        <v>-54413.64</v>
      </c>
      <c r="D18" s="3"/>
      <c r="E18" s="3">
        <f>C18</f>
        <v>-54413.64</v>
      </c>
      <c r="F18">
        <f>C17*C8</f>
        <v>-54413.64</v>
      </c>
    </row>
    <row r="19" spans="2:6" x14ac:dyDescent="0.25">
      <c r="B19" s="3" t="s">
        <v>13</v>
      </c>
      <c r="C19" s="3">
        <f>C5</f>
        <v>0</v>
      </c>
      <c r="D19" s="3"/>
      <c r="E19" s="3"/>
    </row>
    <row r="20" spans="2:6" x14ac:dyDescent="0.25">
      <c r="B20" s="3" t="s">
        <v>15</v>
      </c>
      <c r="C20" s="3">
        <f>$C$19/C9</f>
        <v>0</v>
      </c>
      <c r="D20" s="3"/>
      <c r="E20" s="3">
        <f>C20</f>
        <v>0</v>
      </c>
    </row>
    <row r="21" spans="2:6" x14ac:dyDescent="0.25">
      <c r="B21" s="3" t="s">
        <v>18</v>
      </c>
      <c r="C21" s="3"/>
      <c r="D21" s="3"/>
      <c r="E21" s="3">
        <f>$C$7</f>
        <v>0</v>
      </c>
    </row>
    <row r="22" spans="2:6" x14ac:dyDescent="0.25">
      <c r="B22" s="3" t="s">
        <v>20</v>
      </c>
      <c r="C22" s="3"/>
      <c r="D22" s="3"/>
      <c r="E22" s="3">
        <f>$C$6</f>
        <v>0</v>
      </c>
    </row>
    <row r="23" spans="2:6" x14ac:dyDescent="0.25">
      <c r="B23" s="3"/>
      <c r="C23" s="3"/>
      <c r="D23" s="3"/>
      <c r="E23" s="3"/>
    </row>
    <row r="24" spans="2:6" x14ac:dyDescent="0.25">
      <c r="B24" s="3" t="s">
        <v>16</v>
      </c>
      <c r="C24" s="3"/>
      <c r="D24" s="3"/>
      <c r="E24" s="3">
        <f>ROUND(SUM(E13:E23),0)</f>
        <v>3573162</v>
      </c>
    </row>
    <row r="26" spans="2:6" x14ac:dyDescent="0.25">
      <c r="B26" s="4" t="s">
        <v>21</v>
      </c>
      <c r="C26" s="4"/>
      <c r="D26" s="4"/>
      <c r="E26" s="4"/>
    </row>
    <row r="27" spans="2:6" x14ac:dyDescent="0.25">
      <c r="B27" s="5" t="s">
        <v>22</v>
      </c>
      <c r="C27" s="5"/>
      <c r="D27" s="5"/>
      <c r="E27" s="5">
        <f>$D$7</f>
        <v>0</v>
      </c>
    </row>
    <row r="28" spans="2:6" x14ac:dyDescent="0.25">
      <c r="B28" s="5" t="s">
        <v>23</v>
      </c>
      <c r="C28" s="5"/>
      <c r="D28" s="5"/>
      <c r="E28" s="5">
        <f>$D$6*12</f>
        <v>0</v>
      </c>
    </row>
    <row r="29" spans="2:6" x14ac:dyDescent="0.25">
      <c r="B29" s="5" t="s">
        <v>24</v>
      </c>
      <c r="C29" s="5"/>
      <c r="D29" s="5"/>
      <c r="E29" s="5">
        <f>ROUND($E$24 *15%,0)</f>
        <v>535974</v>
      </c>
    </row>
    <row r="30" spans="2:6" x14ac:dyDescent="0.25">
      <c r="B30" s="5"/>
      <c r="C30" s="5"/>
      <c r="D30" s="5"/>
      <c r="E30" s="5"/>
    </row>
    <row r="31" spans="2:6" x14ac:dyDescent="0.25">
      <c r="B31" s="5" t="s">
        <v>25</v>
      </c>
      <c r="C31" s="5"/>
      <c r="D31" s="5"/>
      <c r="E31" s="5">
        <f>ROUND(SUM(E27:E30),0)</f>
        <v>535974</v>
      </c>
    </row>
    <row r="33" spans="2:7" x14ac:dyDescent="0.25">
      <c r="B33" s="6" t="s">
        <v>26</v>
      </c>
      <c r="C33" s="6"/>
      <c r="D33" s="6"/>
      <c r="E33" s="6">
        <f>E24-E31</f>
        <v>3037188</v>
      </c>
    </row>
    <row r="35" spans="2:7" x14ac:dyDescent="0.25">
      <c r="B35" t="s">
        <v>27</v>
      </c>
      <c r="E35">
        <f>E33*100/4</f>
        <v>75929700</v>
      </c>
      <c r="G35">
        <f>E35*8/100</f>
        <v>6074376</v>
      </c>
    </row>
    <row r="36" spans="2:7" x14ac:dyDescent="0.25">
      <c r="B36" t="s">
        <v>30</v>
      </c>
    </row>
    <row r="38" spans="2:7" x14ac:dyDescent="0.25">
      <c r="B38" s="7" t="s">
        <v>29</v>
      </c>
      <c r="C38" t="str">
        <f>E2</f>
        <v>Sq.Ft.</v>
      </c>
      <c r="E38">
        <f>$E$35/$C$2</f>
        <v>9259.7195121951227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DCCA-4B28-4411-AD49-D5C73066A81D}">
  <dimension ref="A2:O40"/>
  <sheetViews>
    <sheetView workbookViewId="0">
      <selection activeCell="E5" sqref="E5"/>
    </sheetView>
  </sheetViews>
  <sheetFormatPr defaultRowHeight="15" x14ac:dyDescent="0.25"/>
  <cols>
    <col min="1" max="1" width="39.5703125" style="40" bestFit="1" customWidth="1"/>
    <col min="2" max="2" width="16.5703125" style="40" bestFit="1" customWidth="1"/>
    <col min="3" max="3" width="19.140625" style="40" hidden="1" customWidth="1"/>
    <col min="4" max="4" width="21.140625" style="40" hidden="1" customWidth="1"/>
    <col min="5" max="5" width="18.5703125" style="40" bestFit="1" customWidth="1"/>
    <col min="6" max="6" width="17" style="40" hidden="1" customWidth="1"/>
    <col min="7" max="7" width="15.42578125" style="40" hidden="1" customWidth="1"/>
    <col min="8" max="8" width="19.28515625" style="40" hidden="1" customWidth="1"/>
    <col min="9" max="11" width="19" style="40" hidden="1" customWidth="1"/>
    <col min="12" max="12" width="18.42578125" style="40" hidden="1" customWidth="1"/>
    <col min="13" max="13" width="20.140625" style="40" hidden="1" customWidth="1"/>
    <col min="14" max="14" width="25.140625" style="40" hidden="1" customWidth="1"/>
    <col min="15" max="15" width="18.5703125" style="40" bestFit="1" customWidth="1"/>
  </cols>
  <sheetData>
    <row r="2" spans="1:15" x14ac:dyDescent="0.25">
      <c r="A2" s="36" t="s">
        <v>31</v>
      </c>
      <c r="B2" s="37" t="s">
        <v>123</v>
      </c>
      <c r="C2" s="37" t="s">
        <v>124</v>
      </c>
      <c r="D2" s="37" t="s">
        <v>125</v>
      </c>
      <c r="E2" s="37" t="s">
        <v>126</v>
      </c>
      <c r="F2" s="37" t="s">
        <v>127</v>
      </c>
      <c r="G2" s="37" t="s">
        <v>128</v>
      </c>
      <c r="H2" s="37" t="s">
        <v>129</v>
      </c>
      <c r="I2" s="37" t="s">
        <v>130</v>
      </c>
      <c r="J2" s="37" t="s">
        <v>131</v>
      </c>
      <c r="K2" s="37" t="s">
        <v>132</v>
      </c>
      <c r="L2" s="37" t="s">
        <v>133</v>
      </c>
      <c r="M2" s="38" t="s">
        <v>134</v>
      </c>
      <c r="N2" s="39"/>
      <c r="O2" s="37" t="s">
        <v>126</v>
      </c>
    </row>
    <row r="3" spans="1:15" x14ac:dyDescent="0.25">
      <c r="A3" s="41" t="s">
        <v>32</v>
      </c>
      <c r="B3" s="42"/>
      <c r="C3" s="42" t="s">
        <v>33</v>
      </c>
      <c r="D3" s="42" t="s">
        <v>36</v>
      </c>
      <c r="E3" s="147" t="s">
        <v>237</v>
      </c>
      <c r="F3" s="147" t="s">
        <v>38</v>
      </c>
      <c r="G3" s="147" t="s">
        <v>39</v>
      </c>
      <c r="H3" s="147" t="s">
        <v>40</v>
      </c>
      <c r="I3" s="147" t="s">
        <v>41</v>
      </c>
      <c r="J3" s="147" t="s">
        <v>41</v>
      </c>
      <c r="K3" s="147" t="s">
        <v>42</v>
      </c>
      <c r="L3" s="147" t="s">
        <v>43</v>
      </c>
      <c r="M3" s="148" t="s">
        <v>219</v>
      </c>
      <c r="N3" s="147"/>
      <c r="O3" s="147" t="s">
        <v>238</v>
      </c>
    </row>
    <row r="4" spans="1:15" x14ac:dyDescent="0.25">
      <c r="A4" s="44" t="s">
        <v>218</v>
      </c>
      <c r="B4" s="45" t="s">
        <v>76</v>
      </c>
      <c r="C4" s="46">
        <v>7344</v>
      </c>
      <c r="D4" s="47">
        <v>31800</v>
      </c>
      <c r="E4" s="47">
        <v>222</v>
      </c>
      <c r="F4" s="47">
        <v>5612</v>
      </c>
      <c r="G4" s="47">
        <v>31849</v>
      </c>
      <c r="H4" s="47">
        <v>33739</v>
      </c>
      <c r="I4" s="42">
        <v>8200</v>
      </c>
      <c r="J4" s="42">
        <v>10000</v>
      </c>
      <c r="K4" s="47">
        <v>43561</v>
      </c>
      <c r="L4" s="47">
        <v>42067</v>
      </c>
      <c r="M4" s="43">
        <v>90334</v>
      </c>
      <c r="N4" s="39"/>
      <c r="O4" s="47">
        <v>365</v>
      </c>
    </row>
    <row r="5" spans="1:15" x14ac:dyDescent="0.25">
      <c r="A5" s="48" t="s">
        <v>111</v>
      </c>
      <c r="B5" s="49" t="s">
        <v>77</v>
      </c>
      <c r="C5" s="50">
        <f>Sheet2!B17</f>
        <v>5447544</v>
      </c>
      <c r="D5" s="50">
        <f>Sheet2!C17</f>
        <v>15480428</v>
      </c>
      <c r="E5" s="50">
        <f>57500*12</f>
        <v>690000</v>
      </c>
      <c r="F5" s="50">
        <f>Sheet2!E17</f>
        <v>3901681</v>
      </c>
      <c r="G5" s="50">
        <f>Sheet2!F17</f>
        <v>14742192</v>
      </c>
      <c r="H5" s="50">
        <f>Sheet2!G17</f>
        <v>16915887</v>
      </c>
      <c r="I5" s="50"/>
      <c r="J5" s="50">
        <f>Sheet2!I9</f>
        <v>3113807</v>
      </c>
      <c r="K5" s="50">
        <f>Sheet2!J17</f>
        <v>21829512</v>
      </c>
      <c r="L5" s="50">
        <f>Sheet2!K17</f>
        <v>20066680</v>
      </c>
      <c r="M5" s="51">
        <f>Sheet2!L17</f>
        <v>50034886</v>
      </c>
      <c r="N5" s="39"/>
      <c r="O5" s="50">
        <f>57500*12</f>
        <v>690000</v>
      </c>
    </row>
    <row r="6" spans="1:15" x14ac:dyDescent="0.25">
      <c r="A6" s="52" t="s">
        <v>5</v>
      </c>
      <c r="B6" s="53" t="s">
        <v>77</v>
      </c>
      <c r="C6" s="54">
        <f>Sheet2!B18</f>
        <v>2554207</v>
      </c>
      <c r="D6" s="54">
        <f>Sheet2!C18</f>
        <v>7499713</v>
      </c>
      <c r="E6" s="54">
        <v>500000</v>
      </c>
      <c r="F6" s="54">
        <f>Sheet2!E18</f>
        <v>1534480</v>
      </c>
      <c r="G6" s="54">
        <f>Sheet2!F18</f>
        <v>7371100</v>
      </c>
      <c r="H6" s="54">
        <f>Sheet2!G18</f>
        <v>6782604</v>
      </c>
      <c r="I6" s="54"/>
      <c r="J6" s="54">
        <f>Sheet2!I18</f>
        <v>0</v>
      </c>
      <c r="K6" s="54">
        <f>Sheet2!J18</f>
        <v>9731484</v>
      </c>
      <c r="L6" s="54">
        <f>Sheet2!K18</f>
        <v>7899006</v>
      </c>
      <c r="M6" s="55">
        <f>Sheet2!L18</f>
        <v>15620638</v>
      </c>
      <c r="N6" s="39"/>
      <c r="O6" s="54">
        <v>500000</v>
      </c>
    </row>
    <row r="7" spans="1:15" x14ac:dyDescent="0.25">
      <c r="A7" s="48" t="s">
        <v>6</v>
      </c>
      <c r="B7" s="49" t="s">
        <v>77</v>
      </c>
      <c r="C7" s="56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/>
      <c r="J7" s="42">
        <v>0</v>
      </c>
      <c r="K7" s="42">
        <v>0</v>
      </c>
      <c r="L7" s="42">
        <v>0</v>
      </c>
      <c r="M7" s="43">
        <v>0</v>
      </c>
      <c r="N7" s="39"/>
      <c r="O7" s="42">
        <v>0</v>
      </c>
    </row>
    <row r="8" spans="1:15" x14ac:dyDescent="0.25">
      <c r="A8" s="52" t="s">
        <v>78</v>
      </c>
      <c r="B8" s="53" t="s">
        <v>77</v>
      </c>
      <c r="C8" s="33"/>
      <c r="D8" s="39"/>
      <c r="E8" s="39"/>
      <c r="F8" s="39"/>
      <c r="G8" s="39"/>
      <c r="H8" s="39"/>
      <c r="I8" s="39"/>
      <c r="J8" s="39"/>
      <c r="K8" s="39"/>
      <c r="L8" s="39"/>
      <c r="M8" s="57"/>
      <c r="N8" s="39"/>
      <c r="O8" s="39"/>
    </row>
    <row r="9" spans="1:15" x14ac:dyDescent="0.25">
      <c r="A9" s="48" t="s">
        <v>19</v>
      </c>
      <c r="B9" s="49" t="s">
        <v>77</v>
      </c>
      <c r="C9" s="34"/>
      <c r="D9" s="39"/>
      <c r="E9" s="39"/>
      <c r="F9" s="39"/>
      <c r="G9" s="39"/>
      <c r="H9" s="39"/>
      <c r="I9" s="39"/>
      <c r="J9" s="39"/>
      <c r="K9" s="39"/>
      <c r="L9" s="39"/>
      <c r="M9" s="57"/>
      <c r="N9" s="39"/>
      <c r="O9" s="39"/>
    </row>
    <row r="10" spans="1:15" x14ac:dyDescent="0.25">
      <c r="A10" s="52" t="s">
        <v>11</v>
      </c>
      <c r="B10" s="53" t="s">
        <v>79</v>
      </c>
      <c r="C10" s="58">
        <v>0.06</v>
      </c>
      <c r="D10" s="59">
        <v>0.06</v>
      </c>
      <c r="E10" s="59">
        <v>0.06</v>
      </c>
      <c r="F10" s="59">
        <v>0.06</v>
      </c>
      <c r="G10" s="59">
        <v>0.06</v>
      </c>
      <c r="H10" s="59">
        <v>0.06</v>
      </c>
      <c r="I10" s="59"/>
      <c r="J10" s="59">
        <v>0.06</v>
      </c>
      <c r="K10" s="59">
        <v>0.06</v>
      </c>
      <c r="L10" s="59">
        <v>0.06</v>
      </c>
      <c r="M10" s="60">
        <v>0.06</v>
      </c>
      <c r="N10" s="39"/>
      <c r="O10" s="59">
        <v>0.06</v>
      </c>
    </row>
    <row r="11" spans="1:15" x14ac:dyDescent="0.25">
      <c r="A11" s="48" t="s">
        <v>14</v>
      </c>
      <c r="B11" s="49" t="s">
        <v>74</v>
      </c>
      <c r="C11" s="56">
        <v>5</v>
      </c>
      <c r="D11" s="39">
        <v>5</v>
      </c>
      <c r="E11" s="39">
        <v>5</v>
      </c>
      <c r="F11" s="39">
        <v>5</v>
      </c>
      <c r="G11" s="39">
        <v>5</v>
      </c>
      <c r="H11" s="39">
        <v>5</v>
      </c>
      <c r="I11" s="39"/>
      <c r="J11" s="39">
        <v>5</v>
      </c>
      <c r="K11" s="39">
        <v>5</v>
      </c>
      <c r="L11" s="39">
        <v>5</v>
      </c>
      <c r="M11" s="57">
        <v>5</v>
      </c>
      <c r="N11" s="39"/>
      <c r="O11" s="39">
        <v>5</v>
      </c>
    </row>
    <row r="12" spans="1:15" x14ac:dyDescent="0.25">
      <c r="A12" s="35"/>
      <c r="B12" s="33"/>
      <c r="C12" s="33"/>
      <c r="D12" s="39"/>
      <c r="E12" s="39"/>
      <c r="F12" s="39"/>
      <c r="G12" s="39"/>
      <c r="H12" s="39"/>
      <c r="I12" s="39"/>
      <c r="J12" s="39"/>
      <c r="K12" s="39"/>
      <c r="L12" s="39"/>
      <c r="M12" s="57"/>
      <c r="N12" s="39"/>
      <c r="O12" s="39"/>
    </row>
    <row r="13" spans="1:15" x14ac:dyDescent="0.25">
      <c r="A13" s="48" t="s">
        <v>7</v>
      </c>
      <c r="B13" s="49" t="s">
        <v>77</v>
      </c>
      <c r="C13" s="50">
        <f>C5</f>
        <v>5447544</v>
      </c>
      <c r="D13" s="50">
        <f t="shared" ref="D13:M13" si="0">D5</f>
        <v>15480428</v>
      </c>
      <c r="E13" s="50">
        <f t="shared" si="0"/>
        <v>690000</v>
      </c>
      <c r="F13" s="50">
        <f t="shared" si="0"/>
        <v>3901681</v>
      </c>
      <c r="G13" s="50">
        <f t="shared" si="0"/>
        <v>14742192</v>
      </c>
      <c r="H13" s="50">
        <f t="shared" si="0"/>
        <v>16915887</v>
      </c>
      <c r="I13" s="50"/>
      <c r="J13" s="50">
        <f t="shared" si="0"/>
        <v>3113807</v>
      </c>
      <c r="K13" s="50">
        <f t="shared" si="0"/>
        <v>21829512</v>
      </c>
      <c r="L13" s="50">
        <f t="shared" si="0"/>
        <v>20066680</v>
      </c>
      <c r="M13" s="51">
        <f t="shared" si="0"/>
        <v>50034886</v>
      </c>
      <c r="N13" s="39"/>
      <c r="O13" s="50">
        <f t="shared" ref="O13" si="1">O5</f>
        <v>690000</v>
      </c>
    </row>
    <row r="14" spans="1:15" x14ac:dyDescent="0.25">
      <c r="A14" s="52" t="s">
        <v>80</v>
      </c>
      <c r="B14" s="53" t="s">
        <v>77</v>
      </c>
      <c r="C14" s="61">
        <f>ROUND(IF(C6&lt;=(C5/12*3),0,(C6-(C5/12*3))*C10),0)</f>
        <v>71539</v>
      </c>
      <c r="D14" s="61">
        <f t="shared" ref="D14:M14" si="2">ROUND(IF(D6&lt;=(D5/12*3),0,(D6-(D5/12*3))*D10),0)</f>
        <v>217776</v>
      </c>
      <c r="E14" s="61">
        <f>ROUND(IF(E6&lt;=(E5/12*3),0,(E6-(E5/12*3))*E10),0)</f>
        <v>19650</v>
      </c>
      <c r="F14" s="61">
        <f t="shared" si="2"/>
        <v>33544</v>
      </c>
      <c r="G14" s="61">
        <f t="shared" si="2"/>
        <v>221133</v>
      </c>
      <c r="H14" s="61">
        <f t="shared" si="2"/>
        <v>153218</v>
      </c>
      <c r="I14" s="61">
        <f t="shared" si="2"/>
        <v>0</v>
      </c>
      <c r="J14" s="61">
        <f t="shared" si="2"/>
        <v>0</v>
      </c>
      <c r="K14" s="61">
        <f t="shared" si="2"/>
        <v>256446</v>
      </c>
      <c r="L14" s="61">
        <f t="shared" si="2"/>
        <v>172940</v>
      </c>
      <c r="M14" s="62">
        <f t="shared" si="2"/>
        <v>186715</v>
      </c>
      <c r="N14" s="39"/>
      <c r="O14" s="61">
        <f>ROUND(IF(O6&lt;=(O5/12*3),0,(O6-(O5/12*3))*O10),0)</f>
        <v>19650</v>
      </c>
    </row>
    <row r="15" spans="1:15" x14ac:dyDescent="0.25">
      <c r="A15" s="48" t="s">
        <v>81</v>
      </c>
      <c r="B15" s="49" t="s">
        <v>77</v>
      </c>
      <c r="C15" s="56">
        <v>0</v>
      </c>
      <c r="D15" s="63">
        <f t="shared" ref="D15:M15" si="3">D7</f>
        <v>0</v>
      </c>
      <c r="E15" s="63">
        <f t="shared" si="3"/>
        <v>0</v>
      </c>
      <c r="F15" s="63">
        <f t="shared" si="3"/>
        <v>0</v>
      </c>
      <c r="G15" s="63">
        <f t="shared" si="3"/>
        <v>0</v>
      </c>
      <c r="H15" s="63">
        <f t="shared" si="3"/>
        <v>0</v>
      </c>
      <c r="I15" s="63"/>
      <c r="J15" s="63">
        <f t="shared" ref="J15" si="4">J7</f>
        <v>0</v>
      </c>
      <c r="K15" s="63">
        <f t="shared" si="3"/>
        <v>0</v>
      </c>
      <c r="L15" s="63">
        <f t="shared" si="3"/>
        <v>0</v>
      </c>
      <c r="M15" s="64">
        <f t="shared" si="3"/>
        <v>0</v>
      </c>
      <c r="N15" s="39"/>
      <c r="O15" s="63">
        <f t="shared" ref="O15" si="5">O7</f>
        <v>0</v>
      </c>
    </row>
    <row r="16" spans="1:15" x14ac:dyDescent="0.25">
      <c r="A16" s="52" t="s">
        <v>82</v>
      </c>
      <c r="B16" s="53" t="s">
        <v>77</v>
      </c>
      <c r="C16" s="65">
        <v>0</v>
      </c>
      <c r="D16" s="63">
        <f t="shared" ref="D16:M16" si="6">D15/D11</f>
        <v>0</v>
      </c>
      <c r="E16" s="63">
        <f t="shared" si="6"/>
        <v>0</v>
      </c>
      <c r="F16" s="63">
        <f t="shared" si="6"/>
        <v>0</v>
      </c>
      <c r="G16" s="63">
        <f t="shared" si="6"/>
        <v>0</v>
      </c>
      <c r="H16" s="63">
        <f t="shared" si="6"/>
        <v>0</v>
      </c>
      <c r="I16" s="63"/>
      <c r="J16" s="63">
        <f t="shared" ref="J16" si="7">J15/J11</f>
        <v>0</v>
      </c>
      <c r="K16" s="63">
        <f t="shared" si="6"/>
        <v>0</v>
      </c>
      <c r="L16" s="63">
        <f t="shared" si="6"/>
        <v>0</v>
      </c>
      <c r="M16" s="64">
        <f t="shared" si="6"/>
        <v>0</v>
      </c>
      <c r="N16" s="39"/>
      <c r="O16" s="63">
        <f t="shared" ref="O16" si="8">O15/O11</f>
        <v>0</v>
      </c>
    </row>
    <row r="17" spans="1:15" x14ac:dyDescent="0.25">
      <c r="A17" s="48" t="s">
        <v>18</v>
      </c>
      <c r="B17" s="49" t="s">
        <v>77</v>
      </c>
      <c r="C17" s="34"/>
      <c r="D17" s="39"/>
      <c r="E17" s="144">
        <v>0</v>
      </c>
      <c r="F17" s="39"/>
      <c r="G17" s="39"/>
      <c r="H17" s="39"/>
      <c r="I17" s="39"/>
      <c r="J17" s="39"/>
      <c r="K17" s="39"/>
      <c r="L17" s="39"/>
      <c r="M17" s="57"/>
      <c r="N17" s="39"/>
      <c r="O17" s="144">
        <v>0</v>
      </c>
    </row>
    <row r="18" spans="1:15" x14ac:dyDescent="0.25">
      <c r="A18" s="52" t="s">
        <v>83</v>
      </c>
      <c r="B18" s="53" t="s">
        <v>77</v>
      </c>
      <c r="C18" s="33"/>
      <c r="D18" s="39"/>
      <c r="E18" s="144">
        <v>0</v>
      </c>
      <c r="F18" s="39"/>
      <c r="G18" s="39"/>
      <c r="H18" s="39"/>
      <c r="I18" s="39"/>
      <c r="J18" s="39"/>
      <c r="K18" s="39"/>
      <c r="L18" s="39"/>
      <c r="M18" s="57"/>
      <c r="N18" s="39"/>
      <c r="O18" s="144">
        <v>0</v>
      </c>
    </row>
    <row r="19" spans="1:15" x14ac:dyDescent="0.25">
      <c r="A19" s="48" t="s">
        <v>16</v>
      </c>
      <c r="B19" s="49" t="s">
        <v>77</v>
      </c>
      <c r="C19" s="66">
        <f t="shared" ref="C19:M19" si="9">SUM(C13:C18)</f>
        <v>5519083</v>
      </c>
      <c r="D19" s="66">
        <f t="shared" si="9"/>
        <v>15698204</v>
      </c>
      <c r="E19" s="66">
        <f t="shared" si="9"/>
        <v>709650</v>
      </c>
      <c r="F19" s="66">
        <f t="shared" si="9"/>
        <v>3935225</v>
      </c>
      <c r="G19" s="66">
        <f t="shared" si="9"/>
        <v>14963325</v>
      </c>
      <c r="H19" s="66">
        <f t="shared" si="9"/>
        <v>17069105</v>
      </c>
      <c r="I19" s="66">
        <f t="shared" si="9"/>
        <v>0</v>
      </c>
      <c r="J19" s="66">
        <f t="shared" si="9"/>
        <v>3113807</v>
      </c>
      <c r="K19" s="66">
        <f t="shared" si="9"/>
        <v>22085958</v>
      </c>
      <c r="L19" s="66">
        <f t="shared" si="9"/>
        <v>20239620</v>
      </c>
      <c r="M19" s="67">
        <f t="shared" si="9"/>
        <v>50221601</v>
      </c>
      <c r="N19" s="39"/>
      <c r="O19" s="66">
        <f>SUM(O13:O18)</f>
        <v>709650</v>
      </c>
    </row>
    <row r="20" spans="1:15" x14ac:dyDescent="0.25">
      <c r="A20" s="52" t="s">
        <v>21</v>
      </c>
      <c r="B20" s="53"/>
      <c r="C20" s="33"/>
      <c r="D20" s="39"/>
      <c r="E20" s="39"/>
      <c r="F20" s="39"/>
      <c r="G20" s="39"/>
      <c r="H20" s="39"/>
      <c r="I20" s="39"/>
      <c r="J20" s="39"/>
      <c r="K20" s="39"/>
      <c r="L20" s="39"/>
      <c r="M20" s="57"/>
      <c r="N20" s="39"/>
      <c r="O20" s="39"/>
    </row>
    <row r="21" spans="1:15" x14ac:dyDescent="0.25">
      <c r="A21" s="48" t="s">
        <v>22</v>
      </c>
      <c r="B21" s="49" t="s">
        <v>77</v>
      </c>
      <c r="C21" s="50">
        <v>0</v>
      </c>
      <c r="D21" s="68">
        <v>0</v>
      </c>
      <c r="E21" s="68">
        <v>7572</v>
      </c>
      <c r="F21" s="68">
        <v>0</v>
      </c>
      <c r="G21" s="68">
        <v>0</v>
      </c>
      <c r="H21" s="68">
        <v>0</v>
      </c>
      <c r="I21" s="68"/>
      <c r="J21" s="68">
        <v>0</v>
      </c>
      <c r="K21" s="68">
        <v>0</v>
      </c>
      <c r="L21" s="68">
        <v>0</v>
      </c>
      <c r="M21" s="69">
        <v>0</v>
      </c>
      <c r="N21" s="39"/>
      <c r="O21" s="68">
        <v>9196</v>
      </c>
    </row>
    <row r="22" spans="1:15" x14ac:dyDescent="0.25">
      <c r="A22" s="52" t="s">
        <v>84</v>
      </c>
      <c r="B22" s="53" t="s">
        <v>77</v>
      </c>
      <c r="C22" s="54">
        <v>0</v>
      </c>
      <c r="D22" s="68">
        <v>0</v>
      </c>
      <c r="E22" s="68">
        <v>18904</v>
      </c>
      <c r="F22" s="68">
        <v>0</v>
      </c>
      <c r="G22" s="68">
        <v>0</v>
      </c>
      <c r="H22" s="68">
        <v>0</v>
      </c>
      <c r="I22" s="68"/>
      <c r="J22" s="68">
        <v>0</v>
      </c>
      <c r="K22" s="68">
        <v>0</v>
      </c>
      <c r="L22" s="68">
        <v>0</v>
      </c>
      <c r="M22" s="69">
        <v>0</v>
      </c>
      <c r="N22" s="39"/>
      <c r="O22" s="68">
        <v>21904</v>
      </c>
    </row>
    <row r="23" spans="1:15" x14ac:dyDescent="0.25">
      <c r="A23" s="48" t="s">
        <v>113</v>
      </c>
      <c r="B23" s="49" t="s">
        <v>77</v>
      </c>
      <c r="C23" s="68">
        <f>C19*0%</f>
        <v>0</v>
      </c>
      <c r="D23" s="68">
        <f t="shared" ref="D23:M23" si="10">D19*0%</f>
        <v>0</v>
      </c>
      <c r="E23" s="68">
        <f>E19*5%</f>
        <v>35482.5</v>
      </c>
      <c r="F23" s="68">
        <f t="shared" si="10"/>
        <v>0</v>
      </c>
      <c r="G23" s="68">
        <f t="shared" si="10"/>
        <v>0</v>
      </c>
      <c r="H23" s="68">
        <f t="shared" si="10"/>
        <v>0</v>
      </c>
      <c r="I23" s="68"/>
      <c r="J23" s="68">
        <f t="shared" si="10"/>
        <v>0</v>
      </c>
      <c r="K23" s="68">
        <f t="shared" si="10"/>
        <v>0</v>
      </c>
      <c r="L23" s="68">
        <f t="shared" si="10"/>
        <v>0</v>
      </c>
      <c r="M23" s="69">
        <f t="shared" si="10"/>
        <v>0</v>
      </c>
      <c r="N23" s="39"/>
      <c r="O23" s="68">
        <f>O19*5%</f>
        <v>35482.5</v>
      </c>
    </row>
    <row r="24" spans="1:15" x14ac:dyDescent="0.25">
      <c r="A24" s="52" t="s">
        <v>25</v>
      </c>
      <c r="B24" s="53" t="s">
        <v>77</v>
      </c>
      <c r="C24" s="68">
        <f t="shared" ref="C24:M24" si="11">SUM(C21:C23)</f>
        <v>0</v>
      </c>
      <c r="D24" s="68">
        <f t="shared" si="11"/>
        <v>0</v>
      </c>
      <c r="E24" s="68">
        <f t="shared" si="11"/>
        <v>61958.5</v>
      </c>
      <c r="F24" s="68">
        <f t="shared" si="11"/>
        <v>0</v>
      </c>
      <c r="G24" s="68">
        <f t="shared" si="11"/>
        <v>0</v>
      </c>
      <c r="H24" s="68">
        <f t="shared" si="11"/>
        <v>0</v>
      </c>
      <c r="I24" s="68"/>
      <c r="J24" s="68">
        <f t="shared" ref="J24" si="12">SUM(J21:J23)</f>
        <v>0</v>
      </c>
      <c r="K24" s="68">
        <f t="shared" si="11"/>
        <v>0</v>
      </c>
      <c r="L24" s="68">
        <f t="shared" si="11"/>
        <v>0</v>
      </c>
      <c r="M24" s="69">
        <f t="shared" si="11"/>
        <v>0</v>
      </c>
      <c r="N24" s="39"/>
      <c r="O24" s="68">
        <f t="shared" ref="O24" si="13">SUM(O21:O23)</f>
        <v>66582.5</v>
      </c>
    </row>
    <row r="25" spans="1:15" x14ac:dyDescent="0.25">
      <c r="A25" s="48"/>
      <c r="B25" s="49"/>
      <c r="C25" s="70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39"/>
      <c r="O25" s="68"/>
    </row>
    <row r="26" spans="1:15" x14ac:dyDescent="0.25">
      <c r="A26" s="52" t="s">
        <v>26</v>
      </c>
      <c r="B26" s="53"/>
      <c r="C26" s="66">
        <f t="shared" ref="C26:M26" si="14">C19-C24</f>
        <v>5519083</v>
      </c>
      <c r="D26" s="66">
        <f t="shared" si="14"/>
        <v>15698204</v>
      </c>
      <c r="E26" s="66">
        <f t="shared" si="14"/>
        <v>647691.5</v>
      </c>
      <c r="F26" s="66">
        <f t="shared" si="14"/>
        <v>3935225</v>
      </c>
      <c r="G26" s="66">
        <f t="shared" si="14"/>
        <v>14963325</v>
      </c>
      <c r="H26" s="66">
        <f t="shared" si="14"/>
        <v>17069105</v>
      </c>
      <c r="I26" s="66"/>
      <c r="J26" s="66">
        <f t="shared" ref="J26" si="15">J19-J24</f>
        <v>3113807</v>
      </c>
      <c r="K26" s="66">
        <f t="shared" si="14"/>
        <v>22085958</v>
      </c>
      <c r="L26" s="66">
        <f t="shared" si="14"/>
        <v>20239620</v>
      </c>
      <c r="M26" s="67">
        <f t="shared" si="14"/>
        <v>50221601</v>
      </c>
      <c r="N26" s="39"/>
      <c r="O26" s="66">
        <f t="shared" ref="O26" si="16">O19-O24</f>
        <v>643067.5</v>
      </c>
    </row>
    <row r="27" spans="1:15" x14ac:dyDescent="0.25">
      <c r="A27" s="48"/>
      <c r="B27" s="71" t="s">
        <v>75</v>
      </c>
      <c r="C27" s="50">
        <v>4</v>
      </c>
      <c r="D27" s="66">
        <v>4</v>
      </c>
      <c r="E27" s="66">
        <v>6</v>
      </c>
      <c r="F27" s="66">
        <v>4</v>
      </c>
      <c r="G27" s="66">
        <v>4</v>
      </c>
      <c r="H27" s="66">
        <v>4</v>
      </c>
      <c r="I27" s="66">
        <v>4</v>
      </c>
      <c r="J27" s="66">
        <v>4</v>
      </c>
      <c r="K27" s="66">
        <v>4</v>
      </c>
      <c r="L27" s="66">
        <v>4</v>
      </c>
      <c r="M27" s="67">
        <v>4</v>
      </c>
      <c r="N27" s="39"/>
      <c r="O27" s="66">
        <v>6</v>
      </c>
    </row>
    <row r="28" spans="1:15" x14ac:dyDescent="0.25">
      <c r="A28" s="52" t="s">
        <v>85</v>
      </c>
      <c r="B28" s="53" t="s">
        <v>77</v>
      </c>
      <c r="C28" s="72">
        <f t="shared" ref="C28:M28" si="17">C26*100/C27</f>
        <v>137977075</v>
      </c>
      <c r="D28" s="72">
        <f t="shared" si="17"/>
        <v>392455100</v>
      </c>
      <c r="E28" s="72">
        <f t="shared" si="17"/>
        <v>10794858.333333334</v>
      </c>
      <c r="F28" s="72">
        <f t="shared" si="17"/>
        <v>98380625</v>
      </c>
      <c r="G28" s="72">
        <f t="shared" si="17"/>
        <v>374083125</v>
      </c>
      <c r="H28" s="72">
        <f>H26*100/H27</f>
        <v>426727625</v>
      </c>
      <c r="I28" s="72">
        <f>[1]Summary!$B$16</f>
        <v>42991720.559999987</v>
      </c>
      <c r="J28" s="72">
        <f>[1]Summary!$C$16</f>
        <v>13301479.439999994</v>
      </c>
      <c r="K28" s="72">
        <f t="shared" si="17"/>
        <v>552148950</v>
      </c>
      <c r="L28" s="72">
        <f t="shared" si="17"/>
        <v>505990500</v>
      </c>
      <c r="M28" s="73">
        <f t="shared" si="17"/>
        <v>1255540025</v>
      </c>
      <c r="N28" s="74">
        <f>SUM(C28:M28)</f>
        <v>3810391083.3333335</v>
      </c>
      <c r="O28" s="72">
        <f t="shared" ref="O28" si="18">O26*100/O27</f>
        <v>10717791.666666666</v>
      </c>
    </row>
    <row r="29" spans="1:15" x14ac:dyDescent="0.25">
      <c r="A29" s="48" t="s">
        <v>86</v>
      </c>
      <c r="B29" s="49" t="s">
        <v>77</v>
      </c>
      <c r="C29" s="75">
        <f t="shared" ref="C29:M29" si="19">ROUND((C28/C4),0)</f>
        <v>18788</v>
      </c>
      <c r="D29" s="75">
        <f t="shared" si="19"/>
        <v>12341</v>
      </c>
      <c r="E29" s="75">
        <f t="shared" si="19"/>
        <v>48625</v>
      </c>
      <c r="F29" s="75">
        <f t="shared" si="19"/>
        <v>17530</v>
      </c>
      <c r="G29" s="75">
        <f t="shared" si="19"/>
        <v>11746</v>
      </c>
      <c r="H29" s="75">
        <f t="shared" si="19"/>
        <v>12648</v>
      </c>
      <c r="I29" s="75"/>
      <c r="J29" s="75"/>
      <c r="K29" s="75">
        <f t="shared" si="19"/>
        <v>12675</v>
      </c>
      <c r="L29" s="75">
        <f t="shared" si="19"/>
        <v>12028</v>
      </c>
      <c r="M29" s="76">
        <f t="shared" si="19"/>
        <v>13899</v>
      </c>
      <c r="N29" s="39"/>
      <c r="O29" s="75">
        <f t="shared" ref="O29" si="20">ROUND((O28/O4),0)</f>
        <v>29364</v>
      </c>
    </row>
    <row r="30" spans="1:15" x14ac:dyDescent="0.25">
      <c r="A30" s="48" t="s">
        <v>87</v>
      </c>
      <c r="B30" s="49"/>
      <c r="C30" s="50">
        <f>MROUND(C29,100)</f>
        <v>18800</v>
      </c>
      <c r="D30" s="50">
        <f t="shared" ref="D30:M30" si="21">MROUND(D29,100)</f>
        <v>12300</v>
      </c>
      <c r="E30" s="50">
        <f t="shared" si="21"/>
        <v>48600</v>
      </c>
      <c r="F30" s="50">
        <f t="shared" si="21"/>
        <v>17500</v>
      </c>
      <c r="G30" s="50">
        <f t="shared" si="21"/>
        <v>11700</v>
      </c>
      <c r="H30" s="50">
        <f t="shared" si="21"/>
        <v>12600</v>
      </c>
      <c r="I30" s="50"/>
      <c r="J30" s="50"/>
      <c r="K30" s="50">
        <f t="shared" si="21"/>
        <v>12700</v>
      </c>
      <c r="L30" s="50">
        <f t="shared" si="21"/>
        <v>12000</v>
      </c>
      <c r="M30" s="51">
        <f t="shared" si="21"/>
        <v>13900</v>
      </c>
      <c r="N30" s="39"/>
      <c r="O30" s="50">
        <f t="shared" ref="O30" si="22">MROUND(O29,100)</f>
        <v>29400</v>
      </c>
    </row>
    <row r="31" spans="1:15" x14ac:dyDescent="0.25">
      <c r="A31" s="77" t="s">
        <v>70</v>
      </c>
      <c r="B31" s="78" t="s">
        <v>73</v>
      </c>
      <c r="C31" s="79">
        <f>C4*C30</f>
        <v>138067200</v>
      </c>
      <c r="D31" s="80">
        <f>D4*D30</f>
        <v>391140000</v>
      </c>
      <c r="E31" s="80">
        <f t="shared" ref="E31:M31" si="23">E4*E30</f>
        <v>10789200</v>
      </c>
      <c r="F31" s="80">
        <f t="shared" si="23"/>
        <v>98210000</v>
      </c>
      <c r="G31" s="80">
        <f t="shared" si="23"/>
        <v>372633300</v>
      </c>
      <c r="H31" s="80">
        <f t="shared" si="23"/>
        <v>425111400</v>
      </c>
      <c r="I31" s="80">
        <f>ROUND((I28),0)</f>
        <v>42991721</v>
      </c>
      <c r="J31" s="80">
        <f>ROUND((J28),0)</f>
        <v>13301479</v>
      </c>
      <c r="K31" s="80">
        <f t="shared" si="23"/>
        <v>553224700</v>
      </c>
      <c r="L31" s="80">
        <f t="shared" si="23"/>
        <v>504804000</v>
      </c>
      <c r="M31" s="81">
        <f t="shared" si="23"/>
        <v>1255642600</v>
      </c>
      <c r="N31" s="66">
        <f>SUM(C31:M31)</f>
        <v>3805915600</v>
      </c>
      <c r="O31" s="80">
        <f t="shared" ref="O31" si="24">O4*O30</f>
        <v>10731000</v>
      </c>
    </row>
    <row r="32" spans="1:15" ht="16.5" x14ac:dyDescent="0.25">
      <c r="A32" s="82" t="s">
        <v>88</v>
      </c>
      <c r="B32" s="78"/>
      <c r="C32" s="66">
        <f>ROUND((C31*0.9),0)</f>
        <v>124260480</v>
      </c>
      <c r="D32" s="66">
        <f>ROUND((D31*0.9),0)</f>
        <v>352026000</v>
      </c>
      <c r="E32" s="66">
        <f t="shared" ref="E32:M33" si="25">ROUND((E31*0.9),0)</f>
        <v>9710280</v>
      </c>
      <c r="F32" s="66">
        <f t="shared" si="25"/>
        <v>88389000</v>
      </c>
      <c r="G32" s="66">
        <f t="shared" si="25"/>
        <v>335369970</v>
      </c>
      <c r="H32" s="66">
        <f t="shared" si="25"/>
        <v>382600260</v>
      </c>
      <c r="I32" s="66">
        <f t="shared" si="25"/>
        <v>38692549</v>
      </c>
      <c r="J32" s="66">
        <f t="shared" si="25"/>
        <v>11971331</v>
      </c>
      <c r="K32" s="66">
        <f t="shared" si="25"/>
        <v>497902230</v>
      </c>
      <c r="L32" s="66">
        <f t="shared" si="25"/>
        <v>454323600</v>
      </c>
      <c r="M32" s="67">
        <f t="shared" si="25"/>
        <v>1130078340</v>
      </c>
      <c r="N32" s="39"/>
      <c r="O32" s="66">
        <f t="shared" ref="O32:O33" si="26">ROUND((O31*0.9),0)</f>
        <v>9657900</v>
      </c>
    </row>
    <row r="33" spans="1:15" ht="16.5" x14ac:dyDescent="0.25">
      <c r="A33" s="82" t="s">
        <v>89</v>
      </c>
      <c r="B33" s="78"/>
      <c r="C33" s="66">
        <f>ROUND((C31*0.8),0)</f>
        <v>110453760</v>
      </c>
      <c r="D33" s="66">
        <f>ROUND((D32*0.9),0)</f>
        <v>316823400</v>
      </c>
      <c r="E33" s="66">
        <f t="shared" si="25"/>
        <v>8739252</v>
      </c>
      <c r="F33" s="66">
        <f t="shared" si="25"/>
        <v>79550100</v>
      </c>
      <c r="G33" s="66">
        <f t="shared" si="25"/>
        <v>301832973</v>
      </c>
      <c r="H33" s="66">
        <f t="shared" si="25"/>
        <v>344340234</v>
      </c>
      <c r="I33" s="66">
        <f t="shared" si="25"/>
        <v>34823294</v>
      </c>
      <c r="J33" s="66">
        <f t="shared" si="25"/>
        <v>10774198</v>
      </c>
      <c r="K33" s="66">
        <f t="shared" si="25"/>
        <v>448112007</v>
      </c>
      <c r="L33" s="66">
        <f t="shared" si="25"/>
        <v>408891240</v>
      </c>
      <c r="M33" s="67">
        <f t="shared" si="25"/>
        <v>1017070506</v>
      </c>
      <c r="N33" s="39"/>
      <c r="O33" s="66">
        <f t="shared" si="26"/>
        <v>8692110</v>
      </c>
    </row>
    <row r="34" spans="1:15" x14ac:dyDescent="0.25">
      <c r="A34" s="83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57"/>
      <c r="N34" s="39"/>
      <c r="O34" s="39"/>
    </row>
    <row r="35" spans="1:15" x14ac:dyDescent="0.25">
      <c r="A35" s="83" t="s">
        <v>68</v>
      </c>
      <c r="B35" s="39"/>
      <c r="C35" s="66">
        <v>13370</v>
      </c>
      <c r="D35" s="66">
        <v>11460</v>
      </c>
      <c r="E35" s="66">
        <v>17290</v>
      </c>
      <c r="F35" s="66">
        <v>15330</v>
      </c>
      <c r="G35" s="66">
        <v>9460</v>
      </c>
      <c r="H35" s="66">
        <v>19160</v>
      </c>
      <c r="I35" s="66">
        <v>0</v>
      </c>
      <c r="J35" s="66">
        <v>0</v>
      </c>
      <c r="K35" s="66">
        <v>10250</v>
      </c>
      <c r="L35" s="66">
        <v>10610</v>
      </c>
      <c r="M35" s="67">
        <v>0</v>
      </c>
      <c r="N35" s="39"/>
      <c r="O35" s="66">
        <v>17290</v>
      </c>
    </row>
    <row r="36" spans="1:15" x14ac:dyDescent="0.25">
      <c r="A36" s="83" t="s">
        <v>69</v>
      </c>
      <c r="B36" s="39" t="s">
        <v>115</v>
      </c>
      <c r="C36" s="84">
        <f>C4*C35</f>
        <v>98189280</v>
      </c>
      <c r="D36" s="84">
        <f>D4*D35</f>
        <v>364428000</v>
      </c>
      <c r="E36" s="84">
        <f>E4*E35</f>
        <v>3838380</v>
      </c>
      <c r="F36" s="84">
        <f t="shared" ref="F36:H36" si="27">F4*F35</f>
        <v>86031960</v>
      </c>
      <c r="G36" s="84">
        <f t="shared" si="27"/>
        <v>301291540</v>
      </c>
      <c r="H36" s="84">
        <f t="shared" si="27"/>
        <v>646439240</v>
      </c>
      <c r="I36" s="84">
        <v>81206583</v>
      </c>
      <c r="J36" s="84">
        <v>25125016</v>
      </c>
      <c r="K36" s="84">
        <f t="shared" ref="K36:L36" si="28">K4*K35</f>
        <v>446500250</v>
      </c>
      <c r="L36" s="84">
        <f t="shared" si="28"/>
        <v>446330870</v>
      </c>
      <c r="M36" s="85">
        <v>1162074760</v>
      </c>
      <c r="N36" s="84">
        <f>SUM(C36:M36)</f>
        <v>3661455879</v>
      </c>
      <c r="O36" s="84">
        <f>O4*O35</f>
        <v>6310850</v>
      </c>
    </row>
    <row r="37" spans="1:15" x14ac:dyDescent="0.25">
      <c r="A37" s="86" t="s">
        <v>71</v>
      </c>
      <c r="B37" s="87" t="s">
        <v>71</v>
      </c>
      <c r="C37" s="88">
        <f>C31-C36</f>
        <v>39877920</v>
      </c>
      <c r="D37" s="88">
        <f t="shared" ref="D37:M37" si="29">D31-D36</f>
        <v>26712000</v>
      </c>
      <c r="E37" s="88">
        <f t="shared" si="29"/>
        <v>6950820</v>
      </c>
      <c r="F37" s="88">
        <f t="shared" si="29"/>
        <v>12178040</v>
      </c>
      <c r="G37" s="88">
        <f t="shared" si="29"/>
        <v>71341760</v>
      </c>
      <c r="H37" s="88">
        <f t="shared" si="29"/>
        <v>-221327840</v>
      </c>
      <c r="I37" s="88">
        <f t="shared" si="29"/>
        <v>-38214862</v>
      </c>
      <c r="J37" s="88">
        <f t="shared" si="29"/>
        <v>-11823537</v>
      </c>
      <c r="K37" s="88">
        <f t="shared" si="29"/>
        <v>106724450</v>
      </c>
      <c r="L37" s="88">
        <f t="shared" si="29"/>
        <v>58473130</v>
      </c>
      <c r="M37" s="89">
        <f t="shared" si="29"/>
        <v>93567840</v>
      </c>
      <c r="N37" s="84">
        <f>SUM(C37:M37)</f>
        <v>144459721</v>
      </c>
      <c r="O37" s="88">
        <f t="shared" ref="O37" si="30">O31-O36</f>
        <v>4420150</v>
      </c>
    </row>
    <row r="40" spans="1:15" x14ac:dyDescent="0.25">
      <c r="L40" s="40" t="s">
        <v>114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7"/>
  <sheetViews>
    <sheetView zoomScale="85" zoomScaleNormal="85" workbookViewId="0">
      <selection activeCell="X8" sqref="X8"/>
    </sheetView>
  </sheetViews>
  <sheetFormatPr defaultRowHeight="15" x14ac:dyDescent="0.25"/>
  <cols>
    <col min="1" max="1" width="9.140625" style="3"/>
    <col min="2" max="2" width="27.5703125" style="3" bestFit="1" customWidth="1"/>
    <col min="3" max="3" width="12.7109375" style="3" hidden="1" customWidth="1"/>
    <col min="4" max="4" width="13.42578125" style="3" hidden="1" customWidth="1"/>
    <col min="5" max="5" width="20" style="3" hidden="1" customWidth="1"/>
    <col min="6" max="6" width="23.85546875" style="3" hidden="1" customWidth="1"/>
    <col min="7" max="7" width="12.5703125" hidden="1" customWidth="1"/>
    <col min="8" max="8" width="24.5703125" hidden="1" customWidth="1"/>
    <col min="9" max="9" width="14.28515625" hidden="1" customWidth="1"/>
    <col min="10" max="10" width="10.5703125" hidden="1" customWidth="1"/>
    <col min="11" max="11" width="30" style="10" hidden="1" customWidth="1"/>
    <col min="12" max="12" width="31.5703125" style="10" hidden="1" customWidth="1"/>
    <col min="13" max="13" width="24.42578125" style="10" hidden="1" customWidth="1"/>
    <col min="14" max="14" width="11.42578125" style="10" hidden="1" customWidth="1"/>
    <col min="15" max="15" width="17.7109375" hidden="1" customWidth="1"/>
    <col min="16" max="16" width="24.7109375" hidden="1" customWidth="1"/>
    <col min="17" max="17" width="12.42578125" hidden="1" customWidth="1"/>
    <col min="18" max="18" width="17.5703125" style="11" hidden="1" customWidth="1"/>
    <col min="19" max="19" width="24.5703125" style="11" hidden="1" customWidth="1"/>
    <col min="20" max="20" width="25.28515625" style="11" hidden="1" customWidth="1"/>
    <col min="21" max="21" width="15" style="11" hidden="1" customWidth="1"/>
    <col min="22" max="22" width="39.42578125" hidden="1" customWidth="1"/>
    <col min="23" max="23" width="26.140625" style="9" bestFit="1" customWidth="1"/>
    <col min="24" max="24" width="11.42578125" customWidth="1"/>
  </cols>
  <sheetData>
    <row r="1" spans="1:24" x14ac:dyDescent="0.25">
      <c r="G1">
        <f>(H1*I3)</f>
        <v>72625.259999999995</v>
      </c>
      <c r="H1">
        <f>E3-I1</f>
        <v>1210421</v>
      </c>
      <c r="I1">
        <f>D3*3</f>
        <v>1293786</v>
      </c>
      <c r="R1" s="12" t="s">
        <v>21</v>
      </c>
      <c r="S1" s="12"/>
      <c r="T1" s="13">
        <v>0.15</v>
      </c>
      <c r="U1" s="12"/>
      <c r="W1" s="14">
        <v>4</v>
      </c>
    </row>
    <row r="2" spans="1:24" x14ac:dyDescent="0.25">
      <c r="A2" s="17" t="s">
        <v>31</v>
      </c>
      <c r="B2" s="17" t="s">
        <v>32</v>
      </c>
      <c r="C2" s="17" t="s">
        <v>0</v>
      </c>
      <c r="D2" s="17" t="s">
        <v>1</v>
      </c>
      <c r="E2" s="17" t="s">
        <v>5</v>
      </c>
      <c r="F2" s="17" t="s">
        <v>6</v>
      </c>
      <c r="G2" s="18" t="s">
        <v>2</v>
      </c>
      <c r="H2" s="18" t="s">
        <v>19</v>
      </c>
      <c r="I2" s="18" t="s">
        <v>11</v>
      </c>
      <c r="J2" s="18" t="s">
        <v>14</v>
      </c>
      <c r="K2" s="17" t="s">
        <v>7</v>
      </c>
      <c r="L2" s="17" t="s">
        <v>34</v>
      </c>
      <c r="M2" s="17" t="s">
        <v>13</v>
      </c>
      <c r="N2" s="17" t="s">
        <v>15</v>
      </c>
      <c r="O2" s="17" t="s">
        <v>18</v>
      </c>
      <c r="P2" s="17" t="s">
        <v>20</v>
      </c>
      <c r="Q2" s="17" t="s">
        <v>16</v>
      </c>
      <c r="R2" s="19" t="s">
        <v>22</v>
      </c>
      <c r="S2" s="19" t="s">
        <v>23</v>
      </c>
      <c r="T2" s="19" t="s">
        <v>24</v>
      </c>
      <c r="U2" s="19" t="s">
        <v>25</v>
      </c>
      <c r="V2" s="20" t="s">
        <v>26</v>
      </c>
      <c r="W2" s="21" t="s">
        <v>44</v>
      </c>
      <c r="X2" s="19" t="s">
        <v>35</v>
      </c>
    </row>
    <row r="3" spans="1:24" x14ac:dyDescent="0.25">
      <c r="A3" s="17">
        <v>1</v>
      </c>
      <c r="B3" s="17" t="s">
        <v>33</v>
      </c>
      <c r="C3" s="15">
        <v>7344</v>
      </c>
      <c r="D3" s="17">
        <v>431262</v>
      </c>
      <c r="E3" s="17">
        <v>2504207</v>
      </c>
      <c r="F3" s="17">
        <v>0</v>
      </c>
      <c r="G3" s="18"/>
      <c r="H3" s="18"/>
      <c r="I3" s="22">
        <v>0.06</v>
      </c>
      <c r="J3" s="18">
        <v>5</v>
      </c>
      <c r="K3" s="23">
        <f>D3*12</f>
        <v>5175144</v>
      </c>
      <c r="L3" s="23">
        <f>IF(E3&lt;=(D3*3),0,(E3-(D3*3))*I3)</f>
        <v>72625.259999999995</v>
      </c>
      <c r="M3" s="23">
        <f>F3</f>
        <v>0</v>
      </c>
      <c r="N3" s="23">
        <f>M3/J3</f>
        <v>0</v>
      </c>
      <c r="O3" s="18"/>
      <c r="P3" s="18"/>
      <c r="Q3" s="18">
        <f>SUM(K3:P3)</f>
        <v>5247769.26</v>
      </c>
      <c r="R3" s="24">
        <v>0</v>
      </c>
      <c r="S3" s="24">
        <v>0</v>
      </c>
      <c r="T3" s="24">
        <f>ROUND(Q3*$T$1,0)</f>
        <v>787165</v>
      </c>
      <c r="U3" s="24">
        <f>SUM(R3:T3)</f>
        <v>787165</v>
      </c>
      <c r="V3" s="18">
        <f>Q3-U3</f>
        <v>4460604.26</v>
      </c>
      <c r="W3" s="21">
        <f>V3*100/$W$1</f>
        <v>111515106.5</v>
      </c>
      <c r="X3" s="25">
        <f>W3/C3</f>
        <v>15184.518858932463</v>
      </c>
    </row>
    <row r="4" spans="1:24" x14ac:dyDescent="0.25">
      <c r="A4" s="17">
        <v>2</v>
      </c>
      <c r="B4" s="17" t="s">
        <v>36</v>
      </c>
      <c r="C4" s="26">
        <v>31800</v>
      </c>
      <c r="D4" s="17">
        <v>1410612</v>
      </c>
      <c r="E4" s="17">
        <v>8463670</v>
      </c>
      <c r="F4" s="17">
        <v>0</v>
      </c>
      <c r="G4" s="18"/>
      <c r="H4" s="18"/>
      <c r="I4" s="22">
        <v>0.06</v>
      </c>
      <c r="J4" s="18">
        <v>5</v>
      </c>
      <c r="K4" s="23">
        <f t="shared" ref="K4:K13" si="0">D4*12</f>
        <v>16927344</v>
      </c>
      <c r="L4" s="23">
        <f t="shared" ref="L4:L13" si="1">IF(E4&lt;=(D4*3),0,(E4-(D4*3))*I4)</f>
        <v>253910.03999999998</v>
      </c>
      <c r="M4" s="23">
        <f t="shared" ref="M4:M13" si="2">F4</f>
        <v>0</v>
      </c>
      <c r="N4" s="23">
        <f t="shared" ref="N4:N13" si="3">M4/J4</f>
        <v>0</v>
      </c>
      <c r="O4" s="18"/>
      <c r="P4" s="18"/>
      <c r="Q4" s="18">
        <f t="shared" ref="Q4:Q13" si="4">SUM(K4:P4)</f>
        <v>17181254.039999999</v>
      </c>
      <c r="R4" s="24">
        <v>0</v>
      </c>
      <c r="S4" s="24">
        <v>0</v>
      </c>
      <c r="T4" s="24">
        <f t="shared" ref="T4:T13" si="5">ROUND(Q4*$T$1,0)</f>
        <v>2577188</v>
      </c>
      <c r="U4" s="24">
        <f t="shared" ref="U4:U13" si="6">SUM(R4:T4)</f>
        <v>2577188</v>
      </c>
      <c r="V4" s="18">
        <f t="shared" ref="V4:V13" si="7">Q4-U4</f>
        <v>14604066.039999999</v>
      </c>
      <c r="W4" s="21">
        <f t="shared" ref="W4:W13" si="8">V4*100/$W$1</f>
        <v>365101651</v>
      </c>
      <c r="X4" s="25">
        <f t="shared" ref="X4:X13" si="9">W4/C4</f>
        <v>11481.183993710692</v>
      </c>
    </row>
    <row r="5" spans="1:24" x14ac:dyDescent="0.25">
      <c r="A5" s="17">
        <v>3</v>
      </c>
      <c r="B5" s="17" t="s">
        <v>37</v>
      </c>
      <c r="C5" s="26">
        <v>18194</v>
      </c>
      <c r="D5" s="17">
        <v>922380</v>
      </c>
      <c r="E5" s="17">
        <v>5534282</v>
      </c>
      <c r="F5" s="17">
        <v>0</v>
      </c>
      <c r="G5" s="18"/>
      <c r="H5" s="18"/>
      <c r="I5" s="22">
        <v>0.06</v>
      </c>
      <c r="J5" s="18">
        <v>5</v>
      </c>
      <c r="K5" s="23">
        <f t="shared" si="0"/>
        <v>11068560</v>
      </c>
      <c r="L5" s="23">
        <f t="shared" si="1"/>
        <v>166028.51999999999</v>
      </c>
      <c r="M5" s="23">
        <f t="shared" si="2"/>
        <v>0</v>
      </c>
      <c r="N5" s="23">
        <f t="shared" si="3"/>
        <v>0</v>
      </c>
      <c r="O5" s="18"/>
      <c r="P5" s="18"/>
      <c r="Q5" s="18">
        <f t="shared" si="4"/>
        <v>11234588.52</v>
      </c>
      <c r="R5" s="24">
        <v>0</v>
      </c>
      <c r="S5" s="24">
        <v>0</v>
      </c>
      <c r="T5" s="24">
        <f t="shared" si="5"/>
        <v>1685188</v>
      </c>
      <c r="U5" s="24">
        <f t="shared" si="6"/>
        <v>1685188</v>
      </c>
      <c r="V5" s="18">
        <f t="shared" si="7"/>
        <v>9549400.5199999996</v>
      </c>
      <c r="W5" s="21">
        <f t="shared" si="8"/>
        <v>238735013</v>
      </c>
      <c r="X5" s="25">
        <f t="shared" si="9"/>
        <v>13121.634220072552</v>
      </c>
    </row>
    <row r="6" spans="1:24" x14ac:dyDescent="0.25">
      <c r="A6" s="17">
        <v>4</v>
      </c>
      <c r="B6" s="17" t="s">
        <v>38</v>
      </c>
      <c r="C6" s="26">
        <v>5612</v>
      </c>
      <c r="D6" s="17">
        <v>284525</v>
      </c>
      <c r="E6" s="17">
        <v>1707152</v>
      </c>
      <c r="F6" s="17">
        <v>0</v>
      </c>
      <c r="G6" s="18"/>
      <c r="H6" s="18"/>
      <c r="I6" s="22">
        <v>0.06</v>
      </c>
      <c r="J6" s="18">
        <v>5</v>
      </c>
      <c r="K6" s="23">
        <f t="shared" si="0"/>
        <v>3414300</v>
      </c>
      <c r="L6" s="23">
        <f t="shared" si="1"/>
        <v>51214.619999999995</v>
      </c>
      <c r="M6" s="23">
        <f t="shared" si="2"/>
        <v>0</v>
      </c>
      <c r="N6" s="23">
        <f t="shared" si="3"/>
        <v>0</v>
      </c>
      <c r="O6" s="18"/>
      <c r="P6" s="18"/>
      <c r="Q6" s="18">
        <f t="shared" si="4"/>
        <v>3465514.62</v>
      </c>
      <c r="R6" s="24">
        <v>0</v>
      </c>
      <c r="S6" s="24">
        <v>0</v>
      </c>
      <c r="T6" s="24">
        <f t="shared" si="5"/>
        <v>519827</v>
      </c>
      <c r="U6" s="24">
        <f t="shared" si="6"/>
        <v>519827</v>
      </c>
      <c r="V6" s="18">
        <f t="shared" si="7"/>
        <v>2945687.62</v>
      </c>
      <c r="W6" s="21">
        <f t="shared" si="8"/>
        <v>73642190.5</v>
      </c>
      <c r="X6" s="25">
        <f t="shared" si="9"/>
        <v>13122.272006414825</v>
      </c>
    </row>
    <row r="7" spans="1:24" x14ac:dyDescent="0.25">
      <c r="A7" s="17">
        <v>5</v>
      </c>
      <c r="B7" s="17" t="s">
        <v>39</v>
      </c>
      <c r="C7" s="26">
        <v>31849</v>
      </c>
      <c r="D7" s="17">
        <v>1412794</v>
      </c>
      <c r="E7" s="17">
        <v>8476765</v>
      </c>
      <c r="F7" s="17">
        <v>0</v>
      </c>
      <c r="G7" s="18"/>
      <c r="H7" s="18"/>
      <c r="I7" s="22">
        <v>0.06</v>
      </c>
      <c r="J7" s="18">
        <v>5</v>
      </c>
      <c r="K7" s="23">
        <f t="shared" si="0"/>
        <v>16953528</v>
      </c>
      <c r="L7" s="23">
        <f t="shared" si="1"/>
        <v>254302.97999999998</v>
      </c>
      <c r="M7" s="23">
        <f t="shared" si="2"/>
        <v>0</v>
      </c>
      <c r="N7" s="23">
        <f t="shared" si="3"/>
        <v>0</v>
      </c>
      <c r="O7" s="18"/>
      <c r="P7" s="18"/>
      <c r="Q7" s="18">
        <f t="shared" si="4"/>
        <v>17207830.98</v>
      </c>
      <c r="R7" s="24">
        <v>0</v>
      </c>
      <c r="S7" s="24">
        <v>0</v>
      </c>
      <c r="T7" s="24">
        <f t="shared" si="5"/>
        <v>2581175</v>
      </c>
      <c r="U7" s="24">
        <f t="shared" si="6"/>
        <v>2581175</v>
      </c>
      <c r="V7" s="18">
        <f t="shared" si="7"/>
        <v>14626655.98</v>
      </c>
      <c r="W7" s="21">
        <f t="shared" si="8"/>
        <v>365666399.5</v>
      </c>
      <c r="X7" s="25">
        <f t="shared" si="9"/>
        <v>11481.252142924424</v>
      </c>
    </row>
    <row r="8" spans="1:24" x14ac:dyDescent="0.25">
      <c r="A8" s="17">
        <v>6</v>
      </c>
      <c r="B8" s="17" t="s">
        <v>40</v>
      </c>
      <c r="C8" s="26">
        <v>33739</v>
      </c>
      <c r="D8" s="17">
        <v>1283148</v>
      </c>
      <c r="E8" s="17">
        <v>7293995</v>
      </c>
      <c r="F8" s="17">
        <v>0</v>
      </c>
      <c r="G8" s="18"/>
      <c r="H8" s="18"/>
      <c r="I8" s="22">
        <v>0.06</v>
      </c>
      <c r="J8" s="18">
        <v>5</v>
      </c>
      <c r="K8" s="23">
        <f t="shared" si="0"/>
        <v>15397776</v>
      </c>
      <c r="L8" s="23">
        <f t="shared" si="1"/>
        <v>206673.06</v>
      </c>
      <c r="M8" s="23">
        <f t="shared" si="2"/>
        <v>0</v>
      </c>
      <c r="N8" s="23">
        <f t="shared" si="3"/>
        <v>0</v>
      </c>
      <c r="O8" s="18"/>
      <c r="P8" s="18"/>
      <c r="Q8" s="18">
        <f t="shared" si="4"/>
        <v>15604449.060000001</v>
      </c>
      <c r="R8" s="24">
        <v>0</v>
      </c>
      <c r="S8" s="24">
        <v>0</v>
      </c>
      <c r="T8" s="24">
        <f t="shared" si="5"/>
        <v>2340667</v>
      </c>
      <c r="U8" s="24">
        <f t="shared" si="6"/>
        <v>2340667</v>
      </c>
      <c r="V8" s="18">
        <f t="shared" si="7"/>
        <v>13263782.060000001</v>
      </c>
      <c r="W8" s="21">
        <f t="shared" si="8"/>
        <v>331594551.5</v>
      </c>
      <c r="X8" s="25">
        <f t="shared" si="9"/>
        <v>9828.2270221405488</v>
      </c>
    </row>
    <row r="9" spans="1:24" x14ac:dyDescent="0.25">
      <c r="A9" s="17">
        <v>7</v>
      </c>
      <c r="B9" s="17" t="s">
        <v>41</v>
      </c>
      <c r="C9" s="17"/>
      <c r="D9" s="17"/>
      <c r="E9" s="17"/>
      <c r="F9" s="17">
        <v>0</v>
      </c>
      <c r="G9" s="18"/>
      <c r="H9" s="18"/>
      <c r="I9" s="22">
        <v>0.06</v>
      </c>
      <c r="J9" s="18">
        <v>5</v>
      </c>
      <c r="K9" s="23">
        <f t="shared" si="0"/>
        <v>0</v>
      </c>
      <c r="L9" s="23">
        <f t="shared" si="1"/>
        <v>0</v>
      </c>
      <c r="M9" s="23">
        <f t="shared" si="2"/>
        <v>0</v>
      </c>
      <c r="N9" s="23">
        <f t="shared" si="3"/>
        <v>0</v>
      </c>
      <c r="O9" s="18"/>
      <c r="P9" s="18"/>
      <c r="Q9" s="18">
        <f t="shared" si="4"/>
        <v>0</v>
      </c>
      <c r="R9" s="24">
        <v>0</v>
      </c>
      <c r="S9" s="24">
        <v>0</v>
      </c>
      <c r="T9" s="24">
        <f t="shared" si="5"/>
        <v>0</v>
      </c>
      <c r="U9" s="24">
        <f t="shared" si="6"/>
        <v>0</v>
      </c>
      <c r="V9" s="18">
        <f t="shared" si="7"/>
        <v>0</v>
      </c>
      <c r="W9" s="21">
        <f t="shared" si="8"/>
        <v>0</v>
      </c>
      <c r="X9" s="25" t="e">
        <f t="shared" si="9"/>
        <v>#DIV/0!</v>
      </c>
    </row>
    <row r="10" spans="1:24" x14ac:dyDescent="0.25">
      <c r="A10" s="17">
        <v>8</v>
      </c>
      <c r="B10" s="17" t="s">
        <v>42</v>
      </c>
      <c r="C10" s="26">
        <v>43561</v>
      </c>
      <c r="D10" s="17">
        <v>2091995</v>
      </c>
      <c r="E10" s="17">
        <v>11191207</v>
      </c>
      <c r="F10" s="17">
        <v>0</v>
      </c>
      <c r="G10" s="18"/>
      <c r="H10" s="18"/>
      <c r="I10" s="22">
        <v>0.06</v>
      </c>
      <c r="J10" s="18">
        <v>5</v>
      </c>
      <c r="K10" s="23">
        <f t="shared" si="0"/>
        <v>25103940</v>
      </c>
      <c r="L10" s="23">
        <f t="shared" si="1"/>
        <v>294913.32</v>
      </c>
      <c r="M10" s="23">
        <f t="shared" si="2"/>
        <v>0</v>
      </c>
      <c r="N10" s="23">
        <f t="shared" si="3"/>
        <v>0</v>
      </c>
      <c r="O10" s="18"/>
      <c r="P10" s="18"/>
      <c r="Q10" s="18">
        <f t="shared" si="4"/>
        <v>25398853.32</v>
      </c>
      <c r="R10" s="24">
        <v>0</v>
      </c>
      <c r="S10" s="24">
        <v>0</v>
      </c>
      <c r="T10" s="24">
        <f t="shared" si="5"/>
        <v>3809828</v>
      </c>
      <c r="U10" s="24">
        <f t="shared" si="6"/>
        <v>3809828</v>
      </c>
      <c r="V10" s="18">
        <f t="shared" si="7"/>
        <v>21589025.32</v>
      </c>
      <c r="W10" s="21">
        <f t="shared" si="8"/>
        <v>539725633</v>
      </c>
      <c r="X10" s="25">
        <f t="shared" si="9"/>
        <v>12390.111177429351</v>
      </c>
    </row>
    <row r="11" spans="1:24" x14ac:dyDescent="0.25">
      <c r="A11" s="17">
        <v>9</v>
      </c>
      <c r="B11" s="17" t="s">
        <v>43</v>
      </c>
      <c r="C11" s="26">
        <v>42067</v>
      </c>
      <c r="D11" s="17">
        <v>1738363</v>
      </c>
      <c r="E11" s="17">
        <v>8704357</v>
      </c>
      <c r="F11" s="17">
        <v>0</v>
      </c>
      <c r="G11" s="18"/>
      <c r="H11" s="18"/>
      <c r="I11" s="22">
        <v>0.06</v>
      </c>
      <c r="J11" s="18">
        <v>5</v>
      </c>
      <c r="K11" s="23">
        <f t="shared" si="0"/>
        <v>20860356</v>
      </c>
      <c r="L11" s="23">
        <f t="shared" si="1"/>
        <v>209356.08</v>
      </c>
      <c r="M11" s="23">
        <f t="shared" si="2"/>
        <v>0</v>
      </c>
      <c r="N11" s="23">
        <f t="shared" si="3"/>
        <v>0</v>
      </c>
      <c r="O11" s="18"/>
      <c r="P11" s="18"/>
      <c r="Q11" s="18">
        <f t="shared" si="4"/>
        <v>21069712.079999998</v>
      </c>
      <c r="R11" s="24">
        <v>0</v>
      </c>
      <c r="S11" s="24">
        <v>0</v>
      </c>
      <c r="T11" s="24">
        <f t="shared" si="5"/>
        <v>3160457</v>
      </c>
      <c r="U11" s="24">
        <f t="shared" si="6"/>
        <v>3160457</v>
      </c>
      <c r="V11" s="18">
        <f t="shared" si="7"/>
        <v>17909255.079999998</v>
      </c>
      <c r="W11" s="21">
        <f t="shared" si="8"/>
        <v>447731376.99999994</v>
      </c>
      <c r="X11" s="25">
        <f t="shared" si="9"/>
        <v>10643.292295623647</v>
      </c>
    </row>
    <row r="12" spans="1:24" x14ac:dyDescent="0.25">
      <c r="A12" s="17">
        <v>10</v>
      </c>
      <c r="B12" s="17" t="s">
        <v>46</v>
      </c>
      <c r="C12" s="17">
        <f>12960+14140+14074</f>
        <v>41174</v>
      </c>
      <c r="D12" s="17"/>
      <c r="E12" s="17"/>
      <c r="F12" s="17">
        <v>0</v>
      </c>
      <c r="G12" s="18"/>
      <c r="H12" s="18"/>
      <c r="I12" s="22">
        <v>0.06</v>
      </c>
      <c r="J12" s="18">
        <v>5</v>
      </c>
      <c r="K12" s="23">
        <f t="shared" si="0"/>
        <v>0</v>
      </c>
      <c r="L12" s="23">
        <f t="shared" si="1"/>
        <v>0</v>
      </c>
      <c r="M12" s="23">
        <f t="shared" si="2"/>
        <v>0</v>
      </c>
      <c r="N12" s="23">
        <f t="shared" si="3"/>
        <v>0</v>
      </c>
      <c r="O12" s="18"/>
      <c r="P12" s="18"/>
      <c r="Q12" s="18">
        <f t="shared" si="4"/>
        <v>0</v>
      </c>
      <c r="R12" s="24">
        <v>0</v>
      </c>
      <c r="S12" s="24">
        <v>0</v>
      </c>
      <c r="T12" s="24">
        <f t="shared" si="5"/>
        <v>0</v>
      </c>
      <c r="U12" s="24">
        <f t="shared" si="6"/>
        <v>0</v>
      </c>
      <c r="V12" s="18">
        <f t="shared" si="7"/>
        <v>0</v>
      </c>
      <c r="W12" s="21">
        <f t="shared" si="8"/>
        <v>0</v>
      </c>
      <c r="X12" s="25">
        <f t="shared" si="9"/>
        <v>0</v>
      </c>
    </row>
    <row r="13" spans="1:24" x14ac:dyDescent="0.25">
      <c r="A13" s="17">
        <v>11</v>
      </c>
      <c r="B13" s="17" t="s">
        <v>45</v>
      </c>
      <c r="C13" s="17">
        <v>31009</v>
      </c>
      <c r="D13" s="17">
        <v>1886433</v>
      </c>
      <c r="E13" s="17">
        <v>11305506</v>
      </c>
      <c r="F13" s="17">
        <v>0</v>
      </c>
      <c r="G13" s="18"/>
      <c r="H13" s="18"/>
      <c r="I13" s="22">
        <v>0.06</v>
      </c>
      <c r="J13" s="18">
        <v>5</v>
      </c>
      <c r="K13" s="23">
        <f t="shared" si="0"/>
        <v>22637196</v>
      </c>
      <c r="L13" s="23">
        <f t="shared" si="1"/>
        <v>338772.42</v>
      </c>
      <c r="M13" s="23">
        <f t="shared" si="2"/>
        <v>0</v>
      </c>
      <c r="N13" s="23">
        <f t="shared" si="3"/>
        <v>0</v>
      </c>
      <c r="O13" s="18"/>
      <c r="P13" s="18"/>
      <c r="Q13" s="18">
        <f t="shared" si="4"/>
        <v>22975968.420000002</v>
      </c>
      <c r="R13" s="24">
        <v>0</v>
      </c>
      <c r="S13" s="24">
        <v>0</v>
      </c>
      <c r="T13" s="24">
        <f t="shared" si="5"/>
        <v>3446395</v>
      </c>
      <c r="U13" s="24">
        <f t="shared" si="6"/>
        <v>3446395</v>
      </c>
      <c r="V13" s="18">
        <f t="shared" si="7"/>
        <v>19529573.420000002</v>
      </c>
      <c r="W13" s="21">
        <f t="shared" si="8"/>
        <v>488239335.50000006</v>
      </c>
      <c r="X13" s="25">
        <f t="shared" si="9"/>
        <v>15745.084830210586</v>
      </c>
    </row>
    <row r="14" spans="1:24" x14ac:dyDescent="0.25">
      <c r="A14" s="17">
        <v>12</v>
      </c>
      <c r="B14" s="17" t="s">
        <v>54</v>
      </c>
      <c r="C14" s="17"/>
      <c r="D14" s="17"/>
      <c r="E14" s="17"/>
      <c r="F14" s="17"/>
      <c r="G14" s="18"/>
      <c r="H14" s="18"/>
      <c r="I14" s="18"/>
      <c r="J14" s="18"/>
      <c r="K14" s="23"/>
      <c r="L14" s="23"/>
      <c r="M14" s="23"/>
      <c r="N14" s="23"/>
      <c r="O14" s="18"/>
      <c r="P14" s="18"/>
      <c r="Q14" s="18"/>
      <c r="R14" s="24"/>
      <c r="S14" s="24"/>
      <c r="T14" s="24"/>
      <c r="U14" s="24"/>
      <c r="V14" s="18"/>
      <c r="W14" s="21"/>
      <c r="X14" s="18"/>
    </row>
    <row r="22" spans="7:12" x14ac:dyDescent="0.25">
      <c r="K22" s="10" t="s">
        <v>65</v>
      </c>
      <c r="L22" s="10" t="s">
        <v>66</v>
      </c>
    </row>
    <row r="23" spans="7:12" x14ac:dyDescent="0.25">
      <c r="G23" t="s">
        <v>55</v>
      </c>
      <c r="H23" t="s">
        <v>56</v>
      </c>
      <c r="I23">
        <v>375010</v>
      </c>
      <c r="J23">
        <v>12</v>
      </c>
      <c r="K23" s="16">
        <f>I23*J23</f>
        <v>4500120</v>
      </c>
      <c r="L23" s="16">
        <v>2177571</v>
      </c>
    </row>
    <row r="24" spans="7:12" x14ac:dyDescent="0.25">
      <c r="G24" t="s">
        <v>57</v>
      </c>
      <c r="H24" t="s">
        <v>61</v>
      </c>
      <c r="I24">
        <v>431262</v>
      </c>
      <c r="J24">
        <v>12</v>
      </c>
      <c r="K24" s="16">
        <f>I24*J24</f>
        <v>5175144</v>
      </c>
      <c r="L24" s="16">
        <v>326636</v>
      </c>
    </row>
    <row r="25" spans="7:12" x14ac:dyDescent="0.25">
      <c r="G25" t="s">
        <v>58</v>
      </c>
      <c r="H25" t="s">
        <v>62</v>
      </c>
      <c r="I25">
        <v>431262</v>
      </c>
      <c r="J25">
        <v>12</v>
      </c>
      <c r="K25" s="16">
        <f>I25*J25</f>
        <v>5175144</v>
      </c>
      <c r="L25" s="16"/>
    </row>
    <row r="26" spans="7:12" x14ac:dyDescent="0.25">
      <c r="G26" t="s">
        <v>59</v>
      </c>
      <c r="H26" t="s">
        <v>63</v>
      </c>
      <c r="I26">
        <v>431262</v>
      </c>
      <c r="J26">
        <v>12</v>
      </c>
      <c r="K26" s="16">
        <f>I26*J26</f>
        <v>5175144</v>
      </c>
      <c r="L26" s="16"/>
    </row>
    <row r="27" spans="7:12" x14ac:dyDescent="0.25">
      <c r="G27" t="s">
        <v>60</v>
      </c>
      <c r="H27" t="s">
        <v>64</v>
      </c>
      <c r="I27">
        <v>495951</v>
      </c>
      <c r="J27">
        <v>12</v>
      </c>
      <c r="K27" s="16">
        <f>I27*J27</f>
        <v>5951412</v>
      </c>
      <c r="L27" s="16">
        <v>375631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0"/>
  <sheetViews>
    <sheetView tabSelected="1" zoomScaleNormal="10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E31" sqref="E31"/>
    </sheetView>
  </sheetViews>
  <sheetFormatPr defaultColWidth="9.140625" defaultRowHeight="15" x14ac:dyDescent="0.25"/>
  <cols>
    <col min="1" max="1" width="39.5703125" style="40" bestFit="1" customWidth="1"/>
    <col min="2" max="2" width="16.5703125" style="40" bestFit="1" customWidth="1"/>
    <col min="3" max="3" width="19.140625" style="40" hidden="1" customWidth="1"/>
    <col min="4" max="4" width="21.140625" style="40" hidden="1" customWidth="1"/>
    <col min="5" max="5" width="18.5703125" style="40" bestFit="1" customWidth="1"/>
    <col min="6" max="6" width="17" style="40" hidden="1" customWidth="1"/>
    <col min="7" max="7" width="15.42578125" style="40" hidden="1" customWidth="1"/>
    <col min="8" max="8" width="19.28515625" style="40" hidden="1" customWidth="1"/>
    <col min="9" max="11" width="19" style="40" hidden="1" customWidth="1"/>
    <col min="12" max="12" width="18.42578125" style="40" hidden="1" customWidth="1"/>
    <col min="13" max="13" width="20.140625" style="40" hidden="1" customWidth="1"/>
    <col min="14" max="14" width="25.140625" style="40" hidden="1" customWidth="1"/>
    <col min="15" max="15" width="18.5703125" style="40" bestFit="1" customWidth="1"/>
    <col min="16" max="16" width="14.28515625" style="40" bestFit="1" customWidth="1"/>
    <col min="17" max="17" width="9.140625" style="40"/>
    <col min="18" max="18" width="14.28515625" style="40" bestFit="1" customWidth="1"/>
    <col min="19" max="19" width="11.5703125" style="40" bestFit="1" customWidth="1"/>
    <col min="20" max="20" width="10" style="40" bestFit="1" customWidth="1"/>
    <col min="21" max="22" width="9.140625" style="40"/>
    <col min="23" max="23" width="10" style="40" bestFit="1" customWidth="1"/>
    <col min="24" max="16384" width="9.140625" style="40"/>
  </cols>
  <sheetData>
    <row r="1" spans="1:23" hidden="1" x14ac:dyDescent="0.25"/>
    <row r="2" spans="1:23" hidden="1" x14ac:dyDescent="0.25">
      <c r="A2" s="36" t="s">
        <v>31</v>
      </c>
      <c r="B2" s="37" t="s">
        <v>123</v>
      </c>
      <c r="C2" s="37" t="s">
        <v>124</v>
      </c>
      <c r="D2" s="37" t="s">
        <v>125</v>
      </c>
      <c r="E2" s="37" t="s">
        <v>126</v>
      </c>
      <c r="F2" s="37" t="s">
        <v>127</v>
      </c>
      <c r="G2" s="37" t="s">
        <v>128</v>
      </c>
      <c r="H2" s="37" t="s">
        <v>129</v>
      </c>
      <c r="I2" s="37" t="s">
        <v>130</v>
      </c>
      <c r="J2" s="37" t="s">
        <v>131</v>
      </c>
      <c r="K2" s="37" t="s">
        <v>132</v>
      </c>
      <c r="L2" s="37" t="s">
        <v>133</v>
      </c>
      <c r="M2" s="38" t="s">
        <v>134</v>
      </c>
      <c r="N2" s="39"/>
      <c r="O2" s="37" t="s">
        <v>126</v>
      </c>
    </row>
    <row r="3" spans="1:23" x14ac:dyDescent="0.25">
      <c r="A3" s="41" t="s">
        <v>32</v>
      </c>
      <c r="B3" s="42"/>
      <c r="C3" s="42" t="s">
        <v>33</v>
      </c>
      <c r="D3" s="42" t="s">
        <v>36</v>
      </c>
      <c r="E3" s="147" t="s">
        <v>237</v>
      </c>
      <c r="F3" s="147" t="s">
        <v>38</v>
      </c>
      <c r="G3" s="147" t="s">
        <v>39</v>
      </c>
      <c r="H3" s="147" t="s">
        <v>40</v>
      </c>
      <c r="I3" s="147" t="s">
        <v>41</v>
      </c>
      <c r="J3" s="147" t="s">
        <v>41</v>
      </c>
      <c r="K3" s="147" t="s">
        <v>42</v>
      </c>
      <c r="L3" s="147" t="s">
        <v>43</v>
      </c>
      <c r="M3" s="148" t="s">
        <v>219</v>
      </c>
      <c r="N3" s="147"/>
      <c r="O3" s="147" t="s">
        <v>238</v>
      </c>
    </row>
    <row r="4" spans="1:23" x14ac:dyDescent="0.25">
      <c r="A4" s="44" t="s">
        <v>218</v>
      </c>
      <c r="B4" s="45" t="s">
        <v>76</v>
      </c>
      <c r="C4" s="46">
        <v>7344</v>
      </c>
      <c r="D4" s="47">
        <v>31800</v>
      </c>
      <c r="E4" s="47">
        <v>222</v>
      </c>
      <c r="F4" s="47">
        <v>5612</v>
      </c>
      <c r="G4" s="47">
        <v>31849</v>
      </c>
      <c r="H4" s="47">
        <v>33739</v>
      </c>
      <c r="I4" s="42">
        <v>8200</v>
      </c>
      <c r="J4" s="42">
        <v>10000</v>
      </c>
      <c r="K4" s="47">
        <v>43561</v>
      </c>
      <c r="L4" s="47">
        <v>42067</v>
      </c>
      <c r="M4" s="43">
        <v>90334</v>
      </c>
      <c r="N4" s="39"/>
      <c r="O4" s="47">
        <v>365</v>
      </c>
    </row>
    <row r="5" spans="1:23" x14ac:dyDescent="0.25">
      <c r="A5" s="48" t="s">
        <v>111</v>
      </c>
      <c r="B5" s="49" t="s">
        <v>77</v>
      </c>
      <c r="C5" s="50">
        <f>Sheet2!B17</f>
        <v>5447544</v>
      </c>
      <c r="D5" s="50">
        <f>Sheet2!C17</f>
        <v>15480428</v>
      </c>
      <c r="E5" s="50">
        <v>714000</v>
      </c>
      <c r="F5" s="50">
        <f>Sheet2!E17</f>
        <v>3901681</v>
      </c>
      <c r="G5" s="50">
        <f>Sheet2!F17</f>
        <v>14742192</v>
      </c>
      <c r="H5" s="50">
        <f>Sheet2!G17</f>
        <v>16915887</v>
      </c>
      <c r="I5" s="50"/>
      <c r="J5" s="50">
        <f>Sheet2!I9</f>
        <v>3113807</v>
      </c>
      <c r="K5" s="50">
        <f>Sheet2!J17</f>
        <v>21829512</v>
      </c>
      <c r="L5" s="50">
        <f>Sheet2!K17</f>
        <v>20066680</v>
      </c>
      <c r="M5" s="51">
        <f>Sheet2!L17</f>
        <v>50034886</v>
      </c>
      <c r="N5" s="39"/>
      <c r="O5" s="50">
        <v>714000</v>
      </c>
      <c r="R5" s="40">
        <v>57500</v>
      </c>
    </row>
    <row r="6" spans="1:23" x14ac:dyDescent="0.25">
      <c r="A6" s="52" t="s">
        <v>5</v>
      </c>
      <c r="B6" s="53" t="s">
        <v>77</v>
      </c>
      <c r="C6" s="54">
        <f>Sheet2!B18</f>
        <v>2554207</v>
      </c>
      <c r="D6" s="54">
        <f>Sheet2!C18</f>
        <v>7499713</v>
      </c>
      <c r="E6" s="54">
        <v>500000</v>
      </c>
      <c r="F6" s="54">
        <f>Sheet2!E18</f>
        <v>1534480</v>
      </c>
      <c r="G6" s="54">
        <f>Sheet2!F18</f>
        <v>7371100</v>
      </c>
      <c r="H6" s="54">
        <f>Sheet2!G18</f>
        <v>6782604</v>
      </c>
      <c r="I6" s="54"/>
      <c r="J6" s="54">
        <f>Sheet2!I18</f>
        <v>0</v>
      </c>
      <c r="K6" s="54">
        <f>Sheet2!J18</f>
        <v>9731484</v>
      </c>
      <c r="L6" s="54">
        <f>Sheet2!K18</f>
        <v>7899006</v>
      </c>
      <c r="M6" s="55">
        <f>Sheet2!L18</f>
        <v>15620638</v>
      </c>
      <c r="N6" s="39"/>
      <c r="O6" s="54">
        <v>500000</v>
      </c>
      <c r="R6" s="40">
        <f>R5*12</f>
        <v>690000</v>
      </c>
    </row>
    <row r="7" spans="1:23" x14ac:dyDescent="0.25">
      <c r="A7" s="48" t="s">
        <v>6</v>
      </c>
      <c r="B7" s="49" t="s">
        <v>77</v>
      </c>
      <c r="C7" s="56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/>
      <c r="J7" s="42">
        <v>0</v>
      </c>
      <c r="K7" s="42">
        <v>0</v>
      </c>
      <c r="L7" s="42">
        <v>0</v>
      </c>
      <c r="M7" s="43">
        <v>0</v>
      </c>
      <c r="N7" s="39"/>
      <c r="O7" s="42">
        <v>0</v>
      </c>
      <c r="T7" s="149"/>
      <c r="U7" s="149" t="s">
        <v>239</v>
      </c>
      <c r="V7" s="149"/>
      <c r="W7" s="149" t="s">
        <v>244</v>
      </c>
    </row>
    <row r="8" spans="1:23" x14ac:dyDescent="0.25">
      <c r="A8" s="52" t="s">
        <v>78</v>
      </c>
      <c r="B8" s="53" t="s">
        <v>77</v>
      </c>
      <c r="C8" s="33"/>
      <c r="D8" s="39"/>
      <c r="E8" s="39"/>
      <c r="F8" s="39"/>
      <c r="G8" s="39"/>
      <c r="H8" s="39"/>
      <c r="I8" s="39"/>
      <c r="J8" s="39"/>
      <c r="K8" s="39"/>
      <c r="L8" s="39"/>
      <c r="M8" s="57"/>
      <c r="N8" s="39"/>
      <c r="O8" s="39"/>
      <c r="T8" s="149" t="s">
        <v>241</v>
      </c>
      <c r="U8" s="150">
        <v>4726</v>
      </c>
      <c r="V8" s="149" t="s">
        <v>243</v>
      </c>
      <c r="W8" s="150">
        <f>U8*4</f>
        <v>18904</v>
      </c>
    </row>
    <row r="9" spans="1:23" x14ac:dyDescent="0.25">
      <c r="A9" s="48" t="s">
        <v>19</v>
      </c>
      <c r="B9" s="49" t="s">
        <v>77</v>
      </c>
      <c r="C9" s="34"/>
      <c r="D9" s="39"/>
      <c r="E9" s="39"/>
      <c r="F9" s="39"/>
      <c r="G9" s="39"/>
      <c r="H9" s="39"/>
      <c r="I9" s="39"/>
      <c r="J9" s="39"/>
      <c r="K9" s="39"/>
      <c r="L9" s="39"/>
      <c r="M9" s="57"/>
      <c r="N9" s="39"/>
      <c r="O9" s="39"/>
      <c r="T9" s="149" t="s">
        <v>242</v>
      </c>
      <c r="U9" s="150">
        <v>7572</v>
      </c>
      <c r="V9" s="149"/>
      <c r="W9" s="150">
        <f>U9</f>
        <v>7572</v>
      </c>
    </row>
    <row r="10" spans="1:23" x14ac:dyDescent="0.25">
      <c r="A10" s="52" t="s">
        <v>11</v>
      </c>
      <c r="B10" s="53" t="s">
        <v>79</v>
      </c>
      <c r="C10" s="58">
        <v>0.06</v>
      </c>
      <c r="D10" s="59">
        <v>0.06</v>
      </c>
      <c r="E10" s="59">
        <v>0.06</v>
      </c>
      <c r="F10" s="59">
        <v>0.06</v>
      </c>
      <c r="G10" s="59">
        <v>0.06</v>
      </c>
      <c r="H10" s="59">
        <v>0.06</v>
      </c>
      <c r="I10" s="59"/>
      <c r="J10" s="59">
        <v>0.06</v>
      </c>
      <c r="K10" s="59">
        <v>0.06</v>
      </c>
      <c r="L10" s="59">
        <v>0.06</v>
      </c>
      <c r="M10" s="60">
        <v>0.06</v>
      </c>
      <c r="N10" s="39"/>
      <c r="O10" s="59">
        <v>0.06</v>
      </c>
      <c r="T10" s="149"/>
      <c r="U10" s="149"/>
      <c r="V10" s="149"/>
      <c r="W10" s="150">
        <f>W8+W9</f>
        <v>26476</v>
      </c>
    </row>
    <row r="11" spans="1:23" x14ac:dyDescent="0.25">
      <c r="A11" s="48" t="s">
        <v>14</v>
      </c>
      <c r="B11" s="49" t="s">
        <v>74</v>
      </c>
      <c r="C11" s="56">
        <v>5</v>
      </c>
      <c r="D11" s="39">
        <v>5</v>
      </c>
      <c r="E11" s="39">
        <v>5</v>
      </c>
      <c r="F11" s="39">
        <v>5</v>
      </c>
      <c r="G11" s="39">
        <v>5</v>
      </c>
      <c r="H11" s="39">
        <v>5</v>
      </c>
      <c r="I11" s="39"/>
      <c r="J11" s="39">
        <v>5</v>
      </c>
      <c r="K11" s="39">
        <v>5</v>
      </c>
      <c r="L11" s="39">
        <v>5</v>
      </c>
      <c r="M11" s="57">
        <v>5</v>
      </c>
      <c r="N11" s="39"/>
      <c r="O11" s="39">
        <v>5</v>
      </c>
      <c r="T11" s="149"/>
      <c r="U11" s="149"/>
      <c r="V11" s="149"/>
      <c r="W11" s="149"/>
    </row>
    <row r="12" spans="1:23" x14ac:dyDescent="0.25">
      <c r="A12" s="35"/>
      <c r="B12" s="33"/>
      <c r="C12" s="33"/>
      <c r="D12" s="39"/>
      <c r="E12" s="39"/>
      <c r="F12" s="39"/>
      <c r="G12" s="39"/>
      <c r="H12" s="39"/>
      <c r="I12" s="39"/>
      <c r="J12" s="39"/>
      <c r="K12" s="39"/>
      <c r="L12" s="39"/>
      <c r="M12" s="57"/>
      <c r="N12" s="39"/>
      <c r="O12" s="39"/>
      <c r="R12" s="145"/>
      <c r="T12" s="149"/>
      <c r="U12" s="149"/>
      <c r="V12" s="149"/>
      <c r="W12" s="149"/>
    </row>
    <row r="13" spans="1:23" x14ac:dyDescent="0.25">
      <c r="A13" s="48" t="s">
        <v>7</v>
      </c>
      <c r="B13" s="49" t="s">
        <v>77</v>
      </c>
      <c r="C13" s="50">
        <f>C5</f>
        <v>5447544</v>
      </c>
      <c r="D13" s="50">
        <f t="shared" ref="D13:M13" si="0">D5</f>
        <v>15480428</v>
      </c>
      <c r="E13" s="50">
        <f t="shared" si="0"/>
        <v>714000</v>
      </c>
      <c r="F13" s="50">
        <f t="shared" si="0"/>
        <v>3901681</v>
      </c>
      <c r="G13" s="50">
        <f t="shared" si="0"/>
        <v>14742192</v>
      </c>
      <c r="H13" s="50">
        <f t="shared" si="0"/>
        <v>16915887</v>
      </c>
      <c r="I13" s="50"/>
      <c r="J13" s="50">
        <f t="shared" si="0"/>
        <v>3113807</v>
      </c>
      <c r="K13" s="50">
        <f t="shared" si="0"/>
        <v>21829512</v>
      </c>
      <c r="L13" s="50">
        <f t="shared" si="0"/>
        <v>20066680</v>
      </c>
      <c r="M13" s="51">
        <f t="shared" si="0"/>
        <v>50034886</v>
      </c>
      <c r="N13" s="39"/>
      <c r="O13" s="50">
        <f t="shared" ref="O13" si="1">O5</f>
        <v>714000</v>
      </c>
      <c r="R13" s="145"/>
      <c r="T13" s="149"/>
      <c r="U13" s="149"/>
      <c r="V13" s="149"/>
      <c r="W13" s="149"/>
    </row>
    <row r="14" spans="1:23" x14ac:dyDescent="0.25">
      <c r="A14" s="52" t="s">
        <v>80</v>
      </c>
      <c r="B14" s="53" t="s">
        <v>77</v>
      </c>
      <c r="C14" s="61">
        <f>ROUND(IF(C6&lt;=(C5/12*3),0,(C6-(C5/12*3))*C10),0)</f>
        <v>71539</v>
      </c>
      <c r="D14" s="61">
        <f t="shared" ref="D14:M14" si="2">ROUND(IF(D6&lt;=(D5/12*3),0,(D6-(D5/12*3))*D10),0)</f>
        <v>217776</v>
      </c>
      <c r="E14" s="61">
        <f>ROUND(IF(E6&lt;=(E5/12*3),0,(E6-(E5/12*3))*E10),0)</f>
        <v>19290</v>
      </c>
      <c r="F14" s="61">
        <f t="shared" si="2"/>
        <v>33544</v>
      </c>
      <c r="G14" s="61">
        <f t="shared" si="2"/>
        <v>221133</v>
      </c>
      <c r="H14" s="61">
        <f t="shared" si="2"/>
        <v>153218</v>
      </c>
      <c r="I14" s="61">
        <f t="shared" si="2"/>
        <v>0</v>
      </c>
      <c r="J14" s="61">
        <f t="shared" si="2"/>
        <v>0</v>
      </c>
      <c r="K14" s="61">
        <f t="shared" si="2"/>
        <v>256446</v>
      </c>
      <c r="L14" s="61">
        <f t="shared" si="2"/>
        <v>172940</v>
      </c>
      <c r="M14" s="62">
        <f t="shared" si="2"/>
        <v>186715</v>
      </c>
      <c r="N14" s="39"/>
      <c r="O14" s="61">
        <f>ROUND(IF(O6&lt;=(O5/12*3),0,(O6-(O5/12*3))*O10),0)</f>
        <v>19290</v>
      </c>
      <c r="Q14" s="40">
        <f>E5*0.06</f>
        <v>42840</v>
      </c>
      <c r="R14" s="145"/>
      <c r="S14" s="109"/>
      <c r="T14" s="149"/>
      <c r="U14" s="149" t="s">
        <v>240</v>
      </c>
      <c r="V14" s="149"/>
      <c r="W14" s="149"/>
    </row>
    <row r="15" spans="1:23" x14ac:dyDescent="0.25">
      <c r="A15" s="48" t="s">
        <v>81</v>
      </c>
      <c r="B15" s="49" t="s">
        <v>77</v>
      </c>
      <c r="C15" s="56">
        <v>0</v>
      </c>
      <c r="D15" s="63">
        <f t="shared" ref="D15:M15" si="3">D7</f>
        <v>0</v>
      </c>
      <c r="E15" s="63">
        <f t="shared" si="3"/>
        <v>0</v>
      </c>
      <c r="F15" s="63">
        <f t="shared" si="3"/>
        <v>0</v>
      </c>
      <c r="G15" s="63">
        <f t="shared" si="3"/>
        <v>0</v>
      </c>
      <c r="H15" s="63">
        <f t="shared" si="3"/>
        <v>0</v>
      </c>
      <c r="I15" s="63"/>
      <c r="J15" s="63">
        <f t="shared" ref="J15" si="4">J7</f>
        <v>0</v>
      </c>
      <c r="K15" s="63">
        <f t="shared" si="3"/>
        <v>0</v>
      </c>
      <c r="L15" s="63">
        <f t="shared" si="3"/>
        <v>0</v>
      </c>
      <c r="M15" s="64">
        <f t="shared" si="3"/>
        <v>0</v>
      </c>
      <c r="N15" s="39"/>
      <c r="O15" s="63">
        <f t="shared" ref="O15" si="5">O7</f>
        <v>0</v>
      </c>
      <c r="Q15" s="49">
        <f>E6*0.06</f>
        <v>30000</v>
      </c>
      <c r="R15" s="145"/>
      <c r="S15" s="109"/>
      <c r="T15" s="149" t="s">
        <v>241</v>
      </c>
      <c r="U15" s="150">
        <v>5476</v>
      </c>
      <c r="V15" s="149"/>
      <c r="W15" s="150">
        <f>U15*4</f>
        <v>21904</v>
      </c>
    </row>
    <row r="16" spans="1:23" x14ac:dyDescent="0.25">
      <c r="A16" s="52" t="s">
        <v>82</v>
      </c>
      <c r="B16" s="53" t="s">
        <v>77</v>
      </c>
      <c r="C16" s="65">
        <v>0</v>
      </c>
      <c r="D16" s="63">
        <f t="shared" ref="D16:M16" si="6">D15/D11</f>
        <v>0</v>
      </c>
      <c r="E16" s="63">
        <f t="shared" si="6"/>
        <v>0</v>
      </c>
      <c r="F16" s="63">
        <f t="shared" si="6"/>
        <v>0</v>
      </c>
      <c r="G16" s="63">
        <f t="shared" si="6"/>
        <v>0</v>
      </c>
      <c r="H16" s="63">
        <f t="shared" si="6"/>
        <v>0</v>
      </c>
      <c r="I16" s="63"/>
      <c r="J16" s="63">
        <f t="shared" ref="J16" si="7">J15/J11</f>
        <v>0</v>
      </c>
      <c r="K16" s="63">
        <f t="shared" si="6"/>
        <v>0</v>
      </c>
      <c r="L16" s="63">
        <f t="shared" si="6"/>
        <v>0</v>
      </c>
      <c r="M16" s="64">
        <f t="shared" si="6"/>
        <v>0</v>
      </c>
      <c r="N16" s="39"/>
      <c r="O16" s="63">
        <f t="shared" ref="O16" si="8">O15/O11</f>
        <v>0</v>
      </c>
      <c r="R16" s="145"/>
      <c r="S16" s="109"/>
      <c r="T16" s="149" t="s">
        <v>242</v>
      </c>
      <c r="U16" s="150">
        <v>9196</v>
      </c>
      <c r="V16" s="149"/>
      <c r="W16" s="150">
        <f>U16</f>
        <v>9196</v>
      </c>
    </row>
    <row r="17" spans="1:28" x14ac:dyDescent="0.25">
      <c r="A17" s="48" t="s">
        <v>18</v>
      </c>
      <c r="B17" s="49" t="s">
        <v>77</v>
      </c>
      <c r="C17" s="34"/>
      <c r="D17" s="39"/>
      <c r="E17" s="144">
        <v>0</v>
      </c>
      <c r="F17" s="39"/>
      <c r="G17" s="39"/>
      <c r="H17" s="39"/>
      <c r="I17" s="39"/>
      <c r="J17" s="39"/>
      <c r="K17" s="39"/>
      <c r="L17" s="39"/>
      <c r="M17" s="57"/>
      <c r="N17" s="39"/>
      <c r="O17" s="144">
        <v>0</v>
      </c>
      <c r="R17" s="145"/>
      <c r="S17" s="109"/>
      <c r="T17" s="149"/>
      <c r="U17" s="149"/>
      <c r="V17" s="149"/>
      <c r="W17" s="150">
        <f>SUM(W15:W16)</f>
        <v>31100</v>
      </c>
    </row>
    <row r="18" spans="1:28" x14ac:dyDescent="0.25">
      <c r="A18" s="52" t="s">
        <v>83</v>
      </c>
      <c r="B18" s="53" t="s">
        <v>77</v>
      </c>
      <c r="C18" s="33"/>
      <c r="D18" s="39"/>
      <c r="E18" s="144">
        <v>0</v>
      </c>
      <c r="F18" s="39"/>
      <c r="G18" s="39"/>
      <c r="H18" s="39"/>
      <c r="I18" s="39"/>
      <c r="J18" s="39"/>
      <c r="K18" s="39"/>
      <c r="L18" s="39"/>
      <c r="M18" s="57"/>
      <c r="N18" s="39"/>
      <c r="O18" s="144">
        <v>0</v>
      </c>
      <c r="Q18" s="40" t="s">
        <v>245</v>
      </c>
      <c r="R18" s="145">
        <v>500000</v>
      </c>
      <c r="S18" s="109"/>
    </row>
    <row r="19" spans="1:28" x14ac:dyDescent="0.25">
      <c r="A19" s="48" t="s">
        <v>16</v>
      </c>
      <c r="B19" s="49" t="s">
        <v>77</v>
      </c>
      <c r="C19" s="66">
        <f t="shared" ref="C19:M19" si="9">SUM(C13:C18)</f>
        <v>5519083</v>
      </c>
      <c r="D19" s="66">
        <f t="shared" si="9"/>
        <v>15698204</v>
      </c>
      <c r="E19" s="66">
        <f t="shared" si="9"/>
        <v>733290</v>
      </c>
      <c r="F19" s="66">
        <f t="shared" si="9"/>
        <v>3935225</v>
      </c>
      <c r="G19" s="66">
        <f t="shared" si="9"/>
        <v>14963325</v>
      </c>
      <c r="H19" s="66">
        <f t="shared" si="9"/>
        <v>17069105</v>
      </c>
      <c r="I19" s="66">
        <f t="shared" si="9"/>
        <v>0</v>
      </c>
      <c r="J19" s="66">
        <f t="shared" si="9"/>
        <v>3113807</v>
      </c>
      <c r="K19" s="66">
        <f t="shared" si="9"/>
        <v>22085958</v>
      </c>
      <c r="L19" s="66">
        <f t="shared" si="9"/>
        <v>20239620</v>
      </c>
      <c r="M19" s="67">
        <f t="shared" si="9"/>
        <v>50221601</v>
      </c>
      <c r="N19" s="39"/>
      <c r="O19" s="66">
        <f>SUM(O13:O18)</f>
        <v>733290</v>
      </c>
      <c r="Q19" s="40" t="s">
        <v>246</v>
      </c>
      <c r="R19" s="109">
        <v>690000</v>
      </c>
      <c r="S19" s="109">
        <f>R19/12*3</f>
        <v>172500</v>
      </c>
    </row>
    <row r="20" spans="1:28" x14ac:dyDescent="0.25">
      <c r="A20" s="52" t="s">
        <v>21</v>
      </c>
      <c r="B20" s="53"/>
      <c r="C20" s="33"/>
      <c r="D20" s="39"/>
      <c r="E20" s="39"/>
      <c r="F20" s="39"/>
      <c r="G20" s="39"/>
      <c r="H20" s="39"/>
      <c r="I20" s="39"/>
      <c r="J20" s="39"/>
      <c r="K20" s="39"/>
      <c r="L20" s="39"/>
      <c r="M20" s="57"/>
      <c r="N20" s="39"/>
      <c r="O20" s="39"/>
      <c r="R20" s="109"/>
      <c r="S20" s="109">
        <f>R18-S19</f>
        <v>327500</v>
      </c>
      <c r="T20" s="109">
        <f>S20*0.06</f>
        <v>19650</v>
      </c>
      <c r="Z20" s="40">
        <v>57500</v>
      </c>
      <c r="AA20" s="40">
        <v>60000</v>
      </c>
    </row>
    <row r="21" spans="1:28" x14ac:dyDescent="0.25">
      <c r="A21" s="48" t="s">
        <v>22</v>
      </c>
      <c r="B21" s="49" t="s">
        <v>77</v>
      </c>
      <c r="C21" s="50">
        <v>0</v>
      </c>
      <c r="D21" s="68">
        <v>0</v>
      </c>
      <c r="E21" s="68">
        <v>7572</v>
      </c>
      <c r="F21" s="68">
        <v>0</v>
      </c>
      <c r="G21" s="68">
        <v>0</v>
      </c>
      <c r="H21" s="68">
        <v>0</v>
      </c>
      <c r="I21" s="68"/>
      <c r="J21" s="68">
        <v>0</v>
      </c>
      <c r="K21" s="68">
        <v>0</v>
      </c>
      <c r="L21" s="68">
        <v>0</v>
      </c>
      <c r="M21" s="69">
        <v>0</v>
      </c>
      <c r="N21" s="39"/>
      <c r="O21" s="68">
        <v>9196</v>
      </c>
      <c r="R21" s="146" t="s">
        <v>247</v>
      </c>
      <c r="Z21" s="40">
        <v>3</v>
      </c>
      <c r="AA21" s="40">
        <v>12</v>
      </c>
    </row>
    <row r="22" spans="1:28" x14ac:dyDescent="0.25">
      <c r="A22" s="52" t="s">
        <v>84</v>
      </c>
      <c r="B22" s="53" t="s">
        <v>77</v>
      </c>
      <c r="C22" s="54">
        <v>0</v>
      </c>
      <c r="D22" s="68">
        <v>0</v>
      </c>
      <c r="E22" s="68">
        <v>18904</v>
      </c>
      <c r="F22" s="68">
        <v>0</v>
      </c>
      <c r="G22" s="68">
        <v>0</v>
      </c>
      <c r="H22" s="68">
        <v>0</v>
      </c>
      <c r="I22" s="68"/>
      <c r="J22" s="68">
        <v>0</v>
      </c>
      <c r="K22" s="68">
        <v>0</v>
      </c>
      <c r="L22" s="68">
        <v>0</v>
      </c>
      <c r="M22" s="69">
        <v>0</v>
      </c>
      <c r="N22" s="39"/>
      <c r="O22" s="68">
        <v>21904</v>
      </c>
      <c r="Z22" s="40">
        <f>Z20*Z21</f>
        <v>172500</v>
      </c>
      <c r="AA22" s="40">
        <f>AA20*AA21</f>
        <v>720000</v>
      </c>
      <c r="AB22" s="40">
        <f>Z22+AA22</f>
        <v>892500</v>
      </c>
    </row>
    <row r="23" spans="1:28" x14ac:dyDescent="0.25">
      <c r="A23" s="48" t="s">
        <v>113</v>
      </c>
      <c r="B23" s="49" t="s">
        <v>77</v>
      </c>
      <c r="C23" s="68">
        <f>C19*0%</f>
        <v>0</v>
      </c>
      <c r="D23" s="68">
        <f t="shared" ref="D23:M23" si="10">D19*0%</f>
        <v>0</v>
      </c>
      <c r="E23" s="68">
        <f>E19*8%</f>
        <v>58663.200000000004</v>
      </c>
      <c r="F23" s="68">
        <f t="shared" si="10"/>
        <v>0</v>
      </c>
      <c r="G23" s="68">
        <f t="shared" si="10"/>
        <v>0</v>
      </c>
      <c r="H23" s="68">
        <f t="shared" si="10"/>
        <v>0</v>
      </c>
      <c r="I23" s="68"/>
      <c r="J23" s="68">
        <f t="shared" si="10"/>
        <v>0</v>
      </c>
      <c r="K23" s="68">
        <f t="shared" si="10"/>
        <v>0</v>
      </c>
      <c r="L23" s="68">
        <f t="shared" si="10"/>
        <v>0</v>
      </c>
      <c r="M23" s="69">
        <f t="shared" si="10"/>
        <v>0</v>
      </c>
      <c r="N23" s="39"/>
      <c r="O23" s="151">
        <f>O19*8%</f>
        <v>58663.200000000004</v>
      </c>
      <c r="AB23" s="40">
        <f>AB22/15</f>
        <v>59500</v>
      </c>
    </row>
    <row r="24" spans="1:28" x14ac:dyDescent="0.25">
      <c r="A24" s="52" t="s">
        <v>25</v>
      </c>
      <c r="B24" s="53" t="s">
        <v>77</v>
      </c>
      <c r="C24" s="68">
        <f t="shared" ref="C24:M24" si="11">SUM(C21:C23)</f>
        <v>0</v>
      </c>
      <c r="D24" s="68">
        <f t="shared" si="11"/>
        <v>0</v>
      </c>
      <c r="E24" s="68">
        <f t="shared" si="11"/>
        <v>85139.200000000012</v>
      </c>
      <c r="F24" s="68">
        <f t="shared" si="11"/>
        <v>0</v>
      </c>
      <c r="G24" s="68">
        <f t="shared" si="11"/>
        <v>0</v>
      </c>
      <c r="H24" s="68">
        <f t="shared" si="11"/>
        <v>0</v>
      </c>
      <c r="I24" s="68"/>
      <c r="J24" s="68">
        <f t="shared" ref="J24" si="12">SUM(J21:J23)</f>
        <v>0</v>
      </c>
      <c r="K24" s="68">
        <f t="shared" si="11"/>
        <v>0</v>
      </c>
      <c r="L24" s="68">
        <f t="shared" si="11"/>
        <v>0</v>
      </c>
      <c r="M24" s="69">
        <f t="shared" si="11"/>
        <v>0</v>
      </c>
      <c r="N24" s="39"/>
      <c r="O24" s="68">
        <f t="shared" ref="O24" si="13">SUM(O21:O23)</f>
        <v>89763.200000000012</v>
      </c>
      <c r="R24" s="40">
        <v>57500</v>
      </c>
      <c r="AB24" s="40">
        <f>AB23*12</f>
        <v>714000</v>
      </c>
    </row>
    <row r="25" spans="1:28" x14ac:dyDescent="0.25">
      <c r="A25" s="48"/>
      <c r="B25" s="49"/>
      <c r="C25" s="70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39"/>
      <c r="O25" s="68"/>
      <c r="R25" s="40">
        <f>R24*12</f>
        <v>690000</v>
      </c>
    </row>
    <row r="26" spans="1:28" x14ac:dyDescent="0.25">
      <c r="A26" s="52" t="s">
        <v>26</v>
      </c>
      <c r="B26" s="53"/>
      <c r="C26" s="66">
        <f t="shared" ref="C26:M26" si="14">C19-C24</f>
        <v>5519083</v>
      </c>
      <c r="D26" s="66">
        <f t="shared" si="14"/>
        <v>15698204</v>
      </c>
      <c r="E26" s="66">
        <f t="shared" si="14"/>
        <v>648150.80000000005</v>
      </c>
      <c r="F26" s="66">
        <f t="shared" si="14"/>
        <v>3935225</v>
      </c>
      <c r="G26" s="66">
        <f t="shared" si="14"/>
        <v>14963325</v>
      </c>
      <c r="H26" s="66">
        <f t="shared" si="14"/>
        <v>17069105</v>
      </c>
      <c r="I26" s="66"/>
      <c r="J26" s="66">
        <f t="shared" ref="J26" si="15">J19-J24</f>
        <v>3113807</v>
      </c>
      <c r="K26" s="66">
        <f t="shared" si="14"/>
        <v>22085958</v>
      </c>
      <c r="L26" s="66">
        <f t="shared" si="14"/>
        <v>20239620</v>
      </c>
      <c r="M26" s="67">
        <f t="shared" si="14"/>
        <v>50221601</v>
      </c>
      <c r="N26" s="39"/>
      <c r="O26" s="66">
        <f t="shared" ref="O26" si="16">O19-O24</f>
        <v>643526.80000000005</v>
      </c>
      <c r="R26" s="40">
        <f>R25*100</f>
        <v>69000000</v>
      </c>
    </row>
    <row r="27" spans="1:28" x14ac:dyDescent="0.25">
      <c r="A27" s="48"/>
      <c r="B27" s="71" t="s">
        <v>75</v>
      </c>
      <c r="C27" s="50">
        <v>4</v>
      </c>
      <c r="D27" s="66">
        <v>4</v>
      </c>
      <c r="E27" s="66">
        <v>6</v>
      </c>
      <c r="F27" s="66">
        <v>4</v>
      </c>
      <c r="G27" s="66">
        <v>4</v>
      </c>
      <c r="H27" s="66">
        <v>4</v>
      </c>
      <c r="I27" s="66">
        <v>4</v>
      </c>
      <c r="J27" s="66">
        <v>4</v>
      </c>
      <c r="K27" s="66">
        <v>4</v>
      </c>
      <c r="L27" s="66">
        <v>4</v>
      </c>
      <c r="M27" s="67">
        <v>4</v>
      </c>
      <c r="N27" s="39"/>
      <c r="O27" s="66">
        <v>6</v>
      </c>
      <c r="R27" s="40">
        <f>R26/6</f>
        <v>11500000</v>
      </c>
    </row>
    <row r="28" spans="1:28" x14ac:dyDescent="0.25">
      <c r="A28" s="52" t="s">
        <v>85</v>
      </c>
      <c r="B28" s="53" t="s">
        <v>77</v>
      </c>
      <c r="C28" s="72">
        <f t="shared" ref="C28:M28" si="17">C26*100/C27</f>
        <v>137977075</v>
      </c>
      <c r="D28" s="72">
        <f t="shared" si="17"/>
        <v>392455100</v>
      </c>
      <c r="E28" s="72">
        <f t="shared" si="17"/>
        <v>10802513.333333334</v>
      </c>
      <c r="F28" s="72">
        <f t="shared" si="17"/>
        <v>98380625</v>
      </c>
      <c r="G28" s="72">
        <f t="shared" si="17"/>
        <v>374083125</v>
      </c>
      <c r="H28" s="72">
        <f>H26*100/H27</f>
        <v>426727625</v>
      </c>
      <c r="I28" s="72">
        <f>[1]Summary!$B$16</f>
        <v>42991720.559999987</v>
      </c>
      <c r="J28" s="72">
        <f>[1]Summary!$C$16</f>
        <v>13301479.439999994</v>
      </c>
      <c r="K28" s="72">
        <f t="shared" si="17"/>
        <v>552148950</v>
      </c>
      <c r="L28" s="72">
        <f t="shared" si="17"/>
        <v>505990500</v>
      </c>
      <c r="M28" s="73">
        <f t="shared" si="17"/>
        <v>1255540025</v>
      </c>
      <c r="N28" s="74">
        <f>SUM(C28:M28)</f>
        <v>3810398738.3333335</v>
      </c>
      <c r="O28" s="72">
        <f t="shared" ref="O28" si="18">O26*100/O27</f>
        <v>10725446.666666668</v>
      </c>
    </row>
    <row r="29" spans="1:28" x14ac:dyDescent="0.25">
      <c r="A29" s="48" t="s">
        <v>86</v>
      </c>
      <c r="B29" s="49" t="s">
        <v>77</v>
      </c>
      <c r="C29" s="75">
        <f t="shared" ref="C29:M29" si="19">ROUND((C28/C4),0)</f>
        <v>18788</v>
      </c>
      <c r="D29" s="75">
        <f t="shared" si="19"/>
        <v>12341</v>
      </c>
      <c r="E29" s="75">
        <f t="shared" si="19"/>
        <v>48660</v>
      </c>
      <c r="F29" s="75">
        <f t="shared" si="19"/>
        <v>17530</v>
      </c>
      <c r="G29" s="75">
        <f t="shared" si="19"/>
        <v>11746</v>
      </c>
      <c r="H29" s="75">
        <f t="shared" si="19"/>
        <v>12648</v>
      </c>
      <c r="I29" s="75"/>
      <c r="J29" s="75"/>
      <c r="K29" s="75">
        <f t="shared" si="19"/>
        <v>12675</v>
      </c>
      <c r="L29" s="75">
        <f t="shared" si="19"/>
        <v>12028</v>
      </c>
      <c r="M29" s="76">
        <f t="shared" si="19"/>
        <v>13899</v>
      </c>
      <c r="N29" s="39"/>
      <c r="O29" s="75">
        <f t="shared" ref="O29" si="20">ROUND((O28/O4),0)</f>
        <v>29385</v>
      </c>
    </row>
    <row r="30" spans="1:28" x14ac:dyDescent="0.25">
      <c r="A30" s="48" t="s">
        <v>87</v>
      </c>
      <c r="B30" s="49"/>
      <c r="C30" s="50">
        <f>MROUND(C29,100)</f>
        <v>18800</v>
      </c>
      <c r="D30" s="50">
        <f t="shared" ref="D30:M30" si="21">MROUND(D29,100)</f>
        <v>12300</v>
      </c>
      <c r="E30" s="50">
        <f t="shared" si="21"/>
        <v>48700</v>
      </c>
      <c r="F30" s="50">
        <f t="shared" si="21"/>
        <v>17500</v>
      </c>
      <c r="G30" s="50">
        <f t="shared" si="21"/>
        <v>11700</v>
      </c>
      <c r="H30" s="50">
        <f t="shared" si="21"/>
        <v>12600</v>
      </c>
      <c r="I30" s="50"/>
      <c r="J30" s="50"/>
      <c r="K30" s="50">
        <f t="shared" si="21"/>
        <v>12700</v>
      </c>
      <c r="L30" s="50">
        <f t="shared" si="21"/>
        <v>12000</v>
      </c>
      <c r="M30" s="51">
        <f t="shared" si="21"/>
        <v>13900</v>
      </c>
      <c r="N30" s="39"/>
      <c r="O30" s="50">
        <f t="shared" ref="O30" si="22">MROUND(O29,100)</f>
        <v>29400</v>
      </c>
    </row>
    <row r="31" spans="1:28" x14ac:dyDescent="0.25">
      <c r="A31" s="77" t="s">
        <v>70</v>
      </c>
      <c r="B31" s="78" t="s">
        <v>73</v>
      </c>
      <c r="C31" s="79">
        <f>C4*C30</f>
        <v>138067200</v>
      </c>
      <c r="D31" s="80">
        <f>D4*D30</f>
        <v>391140000</v>
      </c>
      <c r="E31" s="80">
        <f t="shared" ref="E31:M31" si="23">E4*E30</f>
        <v>10811400</v>
      </c>
      <c r="F31" s="80">
        <f t="shared" si="23"/>
        <v>98210000</v>
      </c>
      <c r="G31" s="80">
        <f t="shared" si="23"/>
        <v>372633300</v>
      </c>
      <c r="H31" s="80">
        <f t="shared" si="23"/>
        <v>425111400</v>
      </c>
      <c r="I31" s="80">
        <f>ROUND((I28),0)</f>
        <v>42991721</v>
      </c>
      <c r="J31" s="80">
        <f>ROUND((J28),0)</f>
        <v>13301479</v>
      </c>
      <c r="K31" s="80">
        <f t="shared" si="23"/>
        <v>553224700</v>
      </c>
      <c r="L31" s="80">
        <f t="shared" si="23"/>
        <v>504804000</v>
      </c>
      <c r="M31" s="81">
        <f t="shared" si="23"/>
        <v>1255642600</v>
      </c>
      <c r="N31" s="66">
        <f>SUM(C31:M31)</f>
        <v>3805937800</v>
      </c>
      <c r="O31" s="80">
        <f t="shared" ref="O31" si="24">O4*O30</f>
        <v>10731000</v>
      </c>
      <c r="P31" s="109">
        <f>Table1[[#This Row],[3]]+O31</f>
        <v>21542400</v>
      </c>
    </row>
    <row r="32" spans="1:28" ht="16.5" x14ac:dyDescent="0.25">
      <c r="A32" s="82" t="s">
        <v>88</v>
      </c>
      <c r="B32" s="78"/>
      <c r="C32" s="66">
        <f>ROUND((C31*0.9),0)</f>
        <v>124260480</v>
      </c>
      <c r="D32" s="66">
        <f>ROUND((D31*0.9),0)</f>
        <v>352026000</v>
      </c>
      <c r="E32" s="66">
        <f t="shared" ref="E32:M33" si="25">ROUND((E31*0.9),0)</f>
        <v>9730260</v>
      </c>
      <c r="F32" s="66">
        <f t="shared" si="25"/>
        <v>88389000</v>
      </c>
      <c r="G32" s="66">
        <f t="shared" si="25"/>
        <v>335369970</v>
      </c>
      <c r="H32" s="66">
        <f t="shared" si="25"/>
        <v>382600260</v>
      </c>
      <c r="I32" s="66">
        <f t="shared" si="25"/>
        <v>38692549</v>
      </c>
      <c r="J32" s="66">
        <f t="shared" ref="J32" si="26">ROUND((J31*0.9),0)</f>
        <v>11971331</v>
      </c>
      <c r="K32" s="66">
        <f t="shared" si="25"/>
        <v>497902230</v>
      </c>
      <c r="L32" s="66">
        <f t="shared" si="25"/>
        <v>454323600</v>
      </c>
      <c r="M32" s="67">
        <f t="shared" si="25"/>
        <v>1130078340</v>
      </c>
      <c r="N32" s="39"/>
      <c r="O32" s="66">
        <f t="shared" ref="O32" si="27">ROUND((O31*0.9),0)</f>
        <v>9657900</v>
      </c>
      <c r="P32" s="109">
        <f>Table1[[#This Row],[3]]+O32</f>
        <v>19388160</v>
      </c>
    </row>
    <row r="33" spans="1:16" ht="16.5" x14ac:dyDescent="0.25">
      <c r="A33" s="82" t="s">
        <v>89</v>
      </c>
      <c r="B33" s="78"/>
      <c r="C33" s="66">
        <f>ROUND((C31*0.8),0)</f>
        <v>110453760</v>
      </c>
      <c r="D33" s="66">
        <f>ROUND((D32*0.9),0)</f>
        <v>316823400</v>
      </c>
      <c r="E33" s="66">
        <f t="shared" si="25"/>
        <v>8757234</v>
      </c>
      <c r="F33" s="66">
        <f t="shared" si="25"/>
        <v>79550100</v>
      </c>
      <c r="G33" s="66">
        <f t="shared" si="25"/>
        <v>301832973</v>
      </c>
      <c r="H33" s="66">
        <f t="shared" si="25"/>
        <v>344340234</v>
      </c>
      <c r="I33" s="66">
        <f t="shared" si="25"/>
        <v>34823294</v>
      </c>
      <c r="J33" s="66">
        <f t="shared" ref="J33" si="28">ROUND((J32*0.9),0)</f>
        <v>10774198</v>
      </c>
      <c r="K33" s="66">
        <f t="shared" si="25"/>
        <v>448112007</v>
      </c>
      <c r="L33" s="66">
        <f t="shared" si="25"/>
        <v>408891240</v>
      </c>
      <c r="M33" s="67">
        <f t="shared" si="25"/>
        <v>1017070506</v>
      </c>
      <c r="N33" s="39"/>
      <c r="O33" s="66">
        <f t="shared" ref="O33" si="29">ROUND((O32*0.9),0)</f>
        <v>8692110</v>
      </c>
      <c r="P33" s="109">
        <f>Table1[[#This Row],[3]]+O33</f>
        <v>17449344</v>
      </c>
    </row>
    <row r="34" spans="1:16" x14ac:dyDescent="0.25">
      <c r="A34" s="83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57"/>
      <c r="N34" s="39"/>
      <c r="O34" s="39"/>
    </row>
    <row r="35" spans="1:16" x14ac:dyDescent="0.25">
      <c r="A35" s="83" t="s">
        <v>68</v>
      </c>
      <c r="B35" s="39"/>
      <c r="C35" s="66">
        <v>13370</v>
      </c>
      <c r="D35" s="66">
        <v>11460</v>
      </c>
      <c r="E35" s="66">
        <v>17290</v>
      </c>
      <c r="F35" s="66">
        <v>15330</v>
      </c>
      <c r="G35" s="66">
        <v>9460</v>
      </c>
      <c r="H35" s="66">
        <v>19160</v>
      </c>
      <c r="I35" s="66">
        <v>0</v>
      </c>
      <c r="J35" s="66">
        <v>0</v>
      </c>
      <c r="K35" s="66">
        <v>10250</v>
      </c>
      <c r="L35" s="66">
        <v>10610</v>
      </c>
      <c r="M35" s="67">
        <v>0</v>
      </c>
      <c r="N35" s="39"/>
      <c r="O35" s="66">
        <v>17290</v>
      </c>
    </row>
    <row r="36" spans="1:16" x14ac:dyDescent="0.25">
      <c r="A36" s="83" t="s">
        <v>69</v>
      </c>
      <c r="B36" s="39" t="s">
        <v>115</v>
      </c>
      <c r="C36" s="84">
        <f>C4*C35</f>
        <v>98189280</v>
      </c>
      <c r="D36" s="84">
        <f>D4*D35</f>
        <v>364428000</v>
      </c>
      <c r="E36" s="84">
        <f>E4*E35</f>
        <v>3838380</v>
      </c>
      <c r="F36" s="84">
        <f t="shared" ref="F36" si="30">F4*F35</f>
        <v>86031960</v>
      </c>
      <c r="G36" s="84">
        <f t="shared" ref="G36" si="31">G4*G35</f>
        <v>301291540</v>
      </c>
      <c r="H36" s="84">
        <f t="shared" ref="H36" si="32">H4*H35</f>
        <v>646439240</v>
      </c>
      <c r="I36" s="84">
        <v>81206583</v>
      </c>
      <c r="J36" s="84">
        <v>25125016</v>
      </c>
      <c r="K36" s="84">
        <f t="shared" ref="K36" si="33">K4*K35</f>
        <v>446500250</v>
      </c>
      <c r="L36" s="84">
        <f t="shared" ref="L36" si="34">L4*L35</f>
        <v>446330870</v>
      </c>
      <c r="M36" s="85">
        <v>1162074760</v>
      </c>
      <c r="N36" s="84">
        <f>SUM(C36:M36)</f>
        <v>3661455879</v>
      </c>
      <c r="O36" s="84">
        <f>O4*O35</f>
        <v>6310850</v>
      </c>
    </row>
    <row r="37" spans="1:16" x14ac:dyDescent="0.25">
      <c r="A37" s="86" t="s">
        <v>71</v>
      </c>
      <c r="B37" s="87" t="s">
        <v>71</v>
      </c>
      <c r="C37" s="88">
        <f>C31-C36</f>
        <v>39877920</v>
      </c>
      <c r="D37" s="88">
        <f t="shared" ref="D37:M37" si="35">D31-D36</f>
        <v>26712000</v>
      </c>
      <c r="E37" s="88">
        <f t="shared" si="35"/>
        <v>6973020</v>
      </c>
      <c r="F37" s="88">
        <f t="shared" si="35"/>
        <v>12178040</v>
      </c>
      <c r="G37" s="88">
        <f t="shared" si="35"/>
        <v>71341760</v>
      </c>
      <c r="H37" s="88">
        <f t="shared" si="35"/>
        <v>-221327840</v>
      </c>
      <c r="I37" s="88">
        <f t="shared" si="35"/>
        <v>-38214862</v>
      </c>
      <c r="J37" s="88">
        <f t="shared" ref="J37" si="36">J31-J36</f>
        <v>-11823537</v>
      </c>
      <c r="K37" s="88">
        <f t="shared" si="35"/>
        <v>106724450</v>
      </c>
      <c r="L37" s="88">
        <f t="shared" si="35"/>
        <v>58473130</v>
      </c>
      <c r="M37" s="89">
        <f t="shared" si="35"/>
        <v>93567840</v>
      </c>
      <c r="N37" s="84">
        <f>SUM(C37:M37)</f>
        <v>144481921</v>
      </c>
      <c r="O37" s="88">
        <f t="shared" ref="O37" si="37">O31-O36</f>
        <v>4420150</v>
      </c>
    </row>
    <row r="40" spans="1:16" x14ac:dyDescent="0.25">
      <c r="L40" s="40" t="s">
        <v>114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>
      <selection activeCell="A17" sqref="A17:B18"/>
    </sheetView>
  </sheetViews>
  <sheetFormatPr defaultRowHeight="15" x14ac:dyDescent="0.25"/>
  <cols>
    <col min="1" max="1" width="17.42578125" bestFit="1" customWidth="1"/>
  </cols>
  <sheetData>
    <row r="1" spans="1:2" x14ac:dyDescent="0.25">
      <c r="A1" t="s">
        <v>52</v>
      </c>
      <c r="B1">
        <v>1306950</v>
      </c>
    </row>
    <row r="2" spans="1:2" x14ac:dyDescent="0.25">
      <c r="B2">
        <v>861496</v>
      </c>
    </row>
    <row r="3" spans="1:2" x14ac:dyDescent="0.25">
      <c r="B3">
        <v>572450</v>
      </c>
    </row>
    <row r="4" spans="1:2" x14ac:dyDescent="0.25">
      <c r="B4">
        <v>1476414</v>
      </c>
    </row>
    <row r="5" spans="1:2" x14ac:dyDescent="0.25">
      <c r="A5" t="s">
        <v>47</v>
      </c>
      <c r="B5">
        <v>278944</v>
      </c>
    </row>
    <row r="6" spans="1:2" x14ac:dyDescent="0.25">
      <c r="A6" t="s">
        <v>48</v>
      </c>
    </row>
    <row r="7" spans="1:2" x14ac:dyDescent="0.25">
      <c r="A7" t="s">
        <v>49</v>
      </c>
    </row>
    <row r="8" spans="1:2" x14ac:dyDescent="0.25">
      <c r="A8" t="s">
        <v>50</v>
      </c>
      <c r="B8">
        <v>60000</v>
      </c>
    </row>
    <row r="9" spans="1:2" x14ac:dyDescent="0.25">
      <c r="A9" t="s">
        <v>51</v>
      </c>
    </row>
    <row r="10" spans="1:2" x14ac:dyDescent="0.25">
      <c r="A10" t="s">
        <v>53</v>
      </c>
      <c r="B10">
        <v>24169225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8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C17" sqref="C17"/>
    </sheetView>
  </sheetViews>
  <sheetFormatPr defaultColWidth="8.85546875" defaultRowHeight="16.5" x14ac:dyDescent="0.3"/>
  <cols>
    <col min="1" max="1" width="29.140625" style="129" bestFit="1" customWidth="1"/>
    <col min="2" max="2" width="17" style="129" bestFit="1" customWidth="1"/>
    <col min="3" max="3" width="18.7109375" style="129" bestFit="1" customWidth="1"/>
    <col min="4" max="4" width="16" style="129" bestFit="1" customWidth="1"/>
    <col min="5" max="5" width="21.5703125" style="129" bestFit="1" customWidth="1"/>
    <col min="6" max="6" width="15.28515625" style="129" bestFit="1" customWidth="1"/>
    <col min="7" max="7" width="16.42578125" style="129" bestFit="1" customWidth="1"/>
    <col min="8" max="8" width="16.42578125" style="129" customWidth="1"/>
    <col min="9" max="9" width="15.5703125" style="129" bestFit="1" customWidth="1"/>
    <col min="10" max="10" width="16.42578125" style="129" bestFit="1" customWidth="1"/>
    <col min="11" max="11" width="15.85546875" style="129" bestFit="1" customWidth="1"/>
    <col min="12" max="12" width="29.7109375" style="129" bestFit="1" customWidth="1"/>
    <col min="13" max="13" width="15.28515625" style="129" bestFit="1" customWidth="1"/>
    <col min="14" max="16384" width="8.85546875" style="129"/>
  </cols>
  <sheetData>
    <row r="1" spans="1:13" x14ac:dyDescent="0.3">
      <c r="B1" s="129">
        <v>1</v>
      </c>
      <c r="C1" s="129">
        <v>2</v>
      </c>
      <c r="D1" s="129">
        <v>3</v>
      </c>
      <c r="E1" s="129">
        <v>4</v>
      </c>
      <c r="F1" s="129">
        <v>5</v>
      </c>
      <c r="G1" s="129">
        <v>6</v>
      </c>
      <c r="H1" s="129">
        <v>7</v>
      </c>
      <c r="I1" s="129">
        <v>8</v>
      </c>
      <c r="J1" s="129">
        <v>9</v>
      </c>
      <c r="K1" s="129">
        <v>10</v>
      </c>
      <c r="L1" s="129">
        <v>11</v>
      </c>
    </row>
    <row r="2" spans="1:13" x14ac:dyDescent="0.3">
      <c r="B2" s="27" t="s">
        <v>33</v>
      </c>
      <c r="C2" s="27" t="s">
        <v>36</v>
      </c>
      <c r="D2" s="27" t="s">
        <v>37</v>
      </c>
      <c r="E2" s="27" t="s">
        <v>38</v>
      </c>
      <c r="F2" s="27" t="s">
        <v>39</v>
      </c>
      <c r="G2" s="27" t="s">
        <v>40</v>
      </c>
      <c r="H2" s="27" t="s">
        <v>41</v>
      </c>
      <c r="I2" s="27" t="s">
        <v>41</v>
      </c>
      <c r="J2" s="27" t="s">
        <v>42</v>
      </c>
      <c r="K2" s="27" t="s">
        <v>43</v>
      </c>
      <c r="L2" s="27" t="s">
        <v>46</v>
      </c>
      <c r="M2" s="27" t="s">
        <v>45</v>
      </c>
    </row>
    <row r="3" spans="1:13" s="130" customFormat="1" ht="49.5" x14ac:dyDescent="0.25">
      <c r="A3" s="130" t="s">
        <v>90</v>
      </c>
      <c r="B3" s="130" t="s">
        <v>91</v>
      </c>
      <c r="C3" s="130" t="s">
        <v>36</v>
      </c>
      <c r="D3" s="130" t="s">
        <v>37</v>
      </c>
      <c r="E3" s="130" t="s">
        <v>38</v>
      </c>
      <c r="F3" s="130" t="s">
        <v>39</v>
      </c>
      <c r="G3" s="130" t="s">
        <v>40</v>
      </c>
      <c r="H3" s="130" t="s">
        <v>97</v>
      </c>
      <c r="I3" s="130" t="s">
        <v>98</v>
      </c>
      <c r="J3" s="130" t="s">
        <v>42</v>
      </c>
      <c r="K3" s="130" t="s">
        <v>43</v>
      </c>
      <c r="L3" s="130" t="s">
        <v>112</v>
      </c>
      <c r="M3" s="130" t="s">
        <v>222</v>
      </c>
    </row>
    <row r="4" spans="1:13" x14ac:dyDescent="0.3">
      <c r="A4" s="131" t="s">
        <v>1</v>
      </c>
      <c r="B4" s="132">
        <v>431262</v>
      </c>
      <c r="C4" s="133">
        <v>1226619</v>
      </c>
      <c r="D4" s="133">
        <v>802070</v>
      </c>
      <c r="E4" s="133">
        <v>247413</v>
      </c>
      <c r="F4" s="133">
        <v>1228516</v>
      </c>
      <c r="G4" s="133">
        <v>1115781</v>
      </c>
      <c r="H4" s="133"/>
      <c r="I4" s="133"/>
      <c r="J4" s="133">
        <v>1819126</v>
      </c>
      <c r="K4" s="133">
        <v>1511620</v>
      </c>
      <c r="L4" s="135">
        <v>3129840</v>
      </c>
      <c r="M4" s="133">
        <v>1640376</v>
      </c>
    </row>
    <row r="5" spans="1:13" x14ac:dyDescent="0.3">
      <c r="A5" s="131" t="s">
        <v>5</v>
      </c>
      <c r="B5" s="132">
        <v>2504207</v>
      </c>
      <c r="C5" s="133">
        <v>7359713</v>
      </c>
      <c r="D5" s="133">
        <v>4812419</v>
      </c>
      <c r="E5" s="133">
        <v>1484480</v>
      </c>
      <c r="F5" s="133">
        <v>7371100</v>
      </c>
      <c r="G5" s="133">
        <v>6342604</v>
      </c>
      <c r="H5" s="133"/>
      <c r="I5" s="133"/>
      <c r="J5" s="133">
        <v>9731484</v>
      </c>
      <c r="K5" s="133">
        <v>7569006</v>
      </c>
      <c r="L5" s="135">
        <v>15620638</v>
      </c>
      <c r="M5" s="133">
        <v>9830875</v>
      </c>
    </row>
    <row r="6" spans="1:13" x14ac:dyDescent="0.3">
      <c r="A6" s="129" t="s">
        <v>92</v>
      </c>
      <c r="B6" s="133">
        <v>272400</v>
      </c>
      <c r="C6" s="133">
        <v>509000</v>
      </c>
      <c r="D6" s="133">
        <v>132000</v>
      </c>
      <c r="E6" s="133">
        <v>330000</v>
      </c>
      <c r="F6" s="133"/>
      <c r="G6" s="133">
        <v>555000</v>
      </c>
      <c r="H6" s="133"/>
      <c r="I6" s="133"/>
      <c r="J6" s="133"/>
      <c r="K6" s="133">
        <v>858000</v>
      </c>
      <c r="L6" s="136">
        <v>9000000</v>
      </c>
    </row>
    <row r="7" spans="1:13" x14ac:dyDescent="0.3">
      <c r="A7" s="129" t="s">
        <v>94</v>
      </c>
      <c r="B7" s="133">
        <v>50000</v>
      </c>
      <c r="C7" s="133">
        <v>80000</v>
      </c>
      <c r="D7" s="133">
        <v>50000</v>
      </c>
      <c r="E7" s="133">
        <v>50000</v>
      </c>
      <c r="F7" s="133"/>
      <c r="G7" s="133">
        <v>100000</v>
      </c>
      <c r="H7" s="133"/>
      <c r="I7" s="133"/>
      <c r="J7" s="133"/>
      <c r="K7" s="133">
        <v>130000</v>
      </c>
      <c r="L7" s="133"/>
    </row>
    <row r="8" spans="1:13" ht="66" x14ac:dyDescent="0.3">
      <c r="A8" s="129" t="s">
        <v>93</v>
      </c>
      <c r="B8" s="133" t="s">
        <v>95</v>
      </c>
      <c r="C8" s="133" t="s">
        <v>95</v>
      </c>
      <c r="D8" s="133"/>
      <c r="E8" s="133"/>
      <c r="F8" s="133"/>
      <c r="G8" s="133" t="s">
        <v>96</v>
      </c>
      <c r="H8" s="133"/>
      <c r="I8" s="133"/>
      <c r="J8" s="133"/>
      <c r="K8" s="133"/>
      <c r="L8" s="133"/>
    </row>
    <row r="9" spans="1:13" x14ac:dyDescent="0.3">
      <c r="A9" s="129" t="s">
        <v>108</v>
      </c>
      <c r="B9" s="133"/>
      <c r="C9" s="133"/>
      <c r="D9" s="133"/>
      <c r="E9" s="133"/>
      <c r="F9" s="133"/>
      <c r="G9" s="133"/>
      <c r="H9" s="133">
        <v>12358213</v>
      </c>
      <c r="I9" s="133">
        <v>3113807</v>
      </c>
      <c r="J9" s="133"/>
      <c r="K9" s="133"/>
      <c r="L9" s="133"/>
    </row>
    <row r="10" spans="1:13" x14ac:dyDescent="0.3">
      <c r="A10" s="129" t="s">
        <v>99</v>
      </c>
      <c r="C10" s="133">
        <v>252000</v>
      </c>
      <c r="D10" s="133"/>
      <c r="E10" s="133"/>
      <c r="F10" s="133"/>
      <c r="G10" s="133">
        <v>1320000</v>
      </c>
      <c r="H10" s="133"/>
      <c r="I10" s="133"/>
      <c r="J10" s="133"/>
      <c r="K10" s="133"/>
      <c r="L10" s="133"/>
    </row>
    <row r="11" spans="1:13" x14ac:dyDescent="0.3">
      <c r="A11" s="129" t="s">
        <v>100</v>
      </c>
      <c r="C11" s="133">
        <v>60000</v>
      </c>
      <c r="D11" s="133"/>
      <c r="E11" s="133"/>
      <c r="F11" s="133"/>
      <c r="G11" s="133">
        <v>240000</v>
      </c>
      <c r="H11" s="133"/>
      <c r="I11" s="133"/>
      <c r="J11" s="133"/>
      <c r="K11" s="133"/>
      <c r="L11" s="133"/>
    </row>
    <row r="12" spans="1:13" x14ac:dyDescent="0.3">
      <c r="A12" s="129" t="s">
        <v>101</v>
      </c>
      <c r="C12" s="133"/>
      <c r="D12" s="133">
        <v>2380335</v>
      </c>
      <c r="E12" s="133">
        <v>602725</v>
      </c>
      <c r="F12" s="133"/>
      <c r="G12" s="133">
        <v>1651515</v>
      </c>
      <c r="H12" s="133"/>
      <c r="I12" s="133"/>
      <c r="J12" s="133"/>
      <c r="K12" s="133">
        <v>1069240</v>
      </c>
      <c r="L12" s="133">
        <v>720000</v>
      </c>
    </row>
    <row r="13" spans="1:13" x14ac:dyDescent="0.3">
      <c r="A13" s="129" t="s">
        <v>102</v>
      </c>
      <c r="C13" s="133"/>
      <c r="D13" s="133">
        <v>150000</v>
      </c>
      <c r="E13" s="133"/>
      <c r="F13" s="133"/>
      <c r="G13" s="133">
        <v>100000</v>
      </c>
      <c r="H13" s="133"/>
      <c r="I13" s="133"/>
      <c r="J13" s="133"/>
      <c r="K13" s="133">
        <v>200000</v>
      </c>
      <c r="L13" s="133"/>
    </row>
    <row r="14" spans="1:13" x14ac:dyDescent="0.3">
      <c r="A14" s="129" t="s">
        <v>231</v>
      </c>
      <c r="L14" s="133">
        <f>2756806</f>
        <v>2756806</v>
      </c>
    </row>
    <row r="17" spans="1:12" x14ac:dyDescent="0.3">
      <c r="A17" s="129" t="s">
        <v>109</v>
      </c>
      <c r="B17" s="133">
        <f>(B4*12)+B6+B10+B12</f>
        <v>5447544</v>
      </c>
      <c r="C17" s="133">
        <f>(C4*12)+C6+C10+C12</f>
        <v>15480428</v>
      </c>
      <c r="D17" s="133">
        <f t="shared" ref="D17:K17" si="0">(D4*12)+D6+D10+D12</f>
        <v>12137175</v>
      </c>
      <c r="E17" s="133">
        <f t="shared" si="0"/>
        <v>3901681</v>
      </c>
      <c r="F17" s="133">
        <f t="shared" si="0"/>
        <v>14742192</v>
      </c>
      <c r="G17" s="133">
        <f t="shared" si="0"/>
        <v>16915887</v>
      </c>
      <c r="H17" s="133">
        <f t="shared" si="0"/>
        <v>0</v>
      </c>
      <c r="I17" s="133">
        <f t="shared" si="0"/>
        <v>0</v>
      </c>
      <c r="J17" s="133">
        <f t="shared" si="0"/>
        <v>21829512</v>
      </c>
      <c r="K17" s="133">
        <f t="shared" si="0"/>
        <v>20066680</v>
      </c>
      <c r="L17" s="133">
        <f>(L4*12)+L6+L10+L12 + L14</f>
        <v>50034886</v>
      </c>
    </row>
    <row r="18" spans="1:12" x14ac:dyDescent="0.3">
      <c r="A18" s="129" t="s">
        <v>110</v>
      </c>
      <c r="B18" s="133">
        <f>B5+B7+B11+B13</f>
        <v>2554207</v>
      </c>
      <c r="C18" s="133">
        <f>C5+C7+C11+C13</f>
        <v>7499713</v>
      </c>
      <c r="D18" s="133">
        <f t="shared" ref="D18:L18" si="1">D5+D7+D11+D13</f>
        <v>5012419</v>
      </c>
      <c r="E18" s="133">
        <f t="shared" si="1"/>
        <v>1534480</v>
      </c>
      <c r="F18" s="133">
        <f t="shared" si="1"/>
        <v>7371100</v>
      </c>
      <c r="G18" s="133">
        <f t="shared" si="1"/>
        <v>6782604</v>
      </c>
      <c r="H18" s="133">
        <f t="shared" si="1"/>
        <v>0</v>
      </c>
      <c r="I18" s="133">
        <f t="shared" si="1"/>
        <v>0</v>
      </c>
      <c r="J18" s="133">
        <f t="shared" si="1"/>
        <v>9731484</v>
      </c>
      <c r="K18" s="133">
        <f t="shared" si="1"/>
        <v>7899006</v>
      </c>
      <c r="L18" s="133">
        <f t="shared" si="1"/>
        <v>15620638</v>
      </c>
    </row>
    <row r="22" spans="1:12" s="134" customFormat="1" x14ac:dyDescent="0.3">
      <c r="D22" s="134" t="s">
        <v>103</v>
      </c>
      <c r="E22" s="134" t="s">
        <v>107</v>
      </c>
      <c r="G22" s="134" t="s">
        <v>103</v>
      </c>
      <c r="K22" s="134" t="s">
        <v>103</v>
      </c>
      <c r="L22" s="134" t="s">
        <v>106</v>
      </c>
    </row>
    <row r="23" spans="1:12" s="134" customFormat="1" x14ac:dyDescent="0.3">
      <c r="D23" s="134">
        <v>523710</v>
      </c>
      <c r="E23" s="27">
        <v>100000</v>
      </c>
      <c r="G23" s="134">
        <v>552000</v>
      </c>
      <c r="K23" s="27">
        <v>534240</v>
      </c>
      <c r="L23" s="134">
        <v>240000</v>
      </c>
    </row>
    <row r="24" spans="1:12" s="134" customFormat="1" x14ac:dyDescent="0.3">
      <c r="D24" s="134">
        <v>227700</v>
      </c>
      <c r="E24" s="27">
        <v>277725</v>
      </c>
      <c r="G24" s="134">
        <v>276000</v>
      </c>
      <c r="K24" s="27">
        <v>190000</v>
      </c>
      <c r="L24" s="134">
        <v>240000</v>
      </c>
    </row>
    <row r="25" spans="1:12" s="134" customFormat="1" x14ac:dyDescent="0.3">
      <c r="D25" s="134">
        <v>350000</v>
      </c>
      <c r="E25" s="134">
        <v>225000</v>
      </c>
      <c r="G25" s="134">
        <v>547515</v>
      </c>
      <c r="K25" s="27">
        <v>120000</v>
      </c>
      <c r="L25" s="134">
        <v>240000</v>
      </c>
    </row>
    <row r="26" spans="1:12" s="134" customFormat="1" x14ac:dyDescent="0.3">
      <c r="D26" s="134">
        <v>517500</v>
      </c>
      <c r="G26" s="134">
        <v>276000</v>
      </c>
      <c r="K26" s="134">
        <v>225000</v>
      </c>
    </row>
    <row r="27" spans="1:12" s="134" customFormat="1" x14ac:dyDescent="0.3">
      <c r="D27" s="134">
        <v>100000</v>
      </c>
    </row>
    <row r="28" spans="1:12" s="134" customFormat="1" x14ac:dyDescent="0.3">
      <c r="D28" s="134">
        <v>158700</v>
      </c>
    </row>
    <row r="29" spans="1:12" s="134" customFormat="1" x14ac:dyDescent="0.3">
      <c r="D29" s="134">
        <v>277725</v>
      </c>
    </row>
    <row r="30" spans="1:12" s="134" customFormat="1" x14ac:dyDescent="0.3">
      <c r="D30" s="134">
        <v>225000</v>
      </c>
    </row>
    <row r="31" spans="1:12" s="134" customFormat="1" x14ac:dyDescent="0.3">
      <c r="A31" s="134" t="s">
        <v>105</v>
      </c>
      <c r="D31" s="134">
        <f>SUM(D23:D30)</f>
        <v>2380335</v>
      </c>
      <c r="E31" s="134">
        <f>SUM(E23:E30)</f>
        <v>602725</v>
      </c>
      <c r="G31" s="134">
        <f>SUM(G23:G30)</f>
        <v>1651515</v>
      </c>
      <c r="K31" s="134">
        <f>SUM(K23:K30)</f>
        <v>1069240</v>
      </c>
      <c r="L31" s="134">
        <f>SUM(L23:L30)</f>
        <v>720000</v>
      </c>
    </row>
    <row r="32" spans="1:12" s="134" customFormat="1" x14ac:dyDescent="0.3">
      <c r="D32" s="134" t="s">
        <v>104</v>
      </c>
      <c r="G32" s="134" t="s">
        <v>104</v>
      </c>
      <c r="K32" s="134" t="s">
        <v>104</v>
      </c>
    </row>
    <row r="33" spans="1:11" s="134" customFormat="1" x14ac:dyDescent="0.3">
      <c r="D33" s="134">
        <v>100000</v>
      </c>
      <c r="G33" s="134">
        <v>100000</v>
      </c>
      <c r="K33" s="134">
        <v>50000</v>
      </c>
    </row>
    <row r="34" spans="1:11" s="134" customFormat="1" x14ac:dyDescent="0.3">
      <c r="D34" s="134">
        <v>50000</v>
      </c>
      <c r="K34" s="134">
        <v>150000</v>
      </c>
    </row>
    <row r="35" spans="1:11" s="134" customFormat="1" x14ac:dyDescent="0.3">
      <c r="A35" s="134" t="s">
        <v>105</v>
      </c>
      <c r="D35" s="134">
        <f>SUM(D33:D34)</f>
        <v>150000</v>
      </c>
      <c r="G35" s="134">
        <f>SUM(G33:G34)</f>
        <v>100000</v>
      </c>
      <c r="K35" s="134">
        <f>SUM(K33:K34)</f>
        <v>200000</v>
      </c>
    </row>
    <row r="36" spans="1:11" s="134" customFormat="1" x14ac:dyDescent="0.3"/>
    <row r="37" spans="1:11" s="134" customFormat="1" x14ac:dyDescent="0.3"/>
    <row r="38" spans="1:11" s="134" customFormat="1" x14ac:dyDescent="0.3"/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0"/>
  <sheetViews>
    <sheetView workbookViewId="0">
      <pane xSplit="2" ySplit="3" topLeftCell="J25" activePane="bottomRight" state="frozen"/>
      <selection pane="topRight" activeCell="C1" sqref="C1"/>
      <selection pane="bottomLeft" activeCell="A4" sqref="A4"/>
      <selection pane="bottomRight" activeCell="K29" sqref="K29"/>
    </sheetView>
  </sheetViews>
  <sheetFormatPr defaultColWidth="9.140625" defaultRowHeight="15" x14ac:dyDescent="0.25"/>
  <cols>
    <col min="1" max="1" width="39.5703125" style="40" bestFit="1" customWidth="1"/>
    <col min="2" max="2" width="16.5703125" style="40" bestFit="1" customWidth="1"/>
    <col min="3" max="3" width="19.140625" style="40" bestFit="1" customWidth="1"/>
    <col min="4" max="4" width="21.140625" style="40" bestFit="1" customWidth="1"/>
    <col min="5" max="5" width="18.5703125" style="40" bestFit="1" customWidth="1"/>
    <col min="6" max="6" width="17" style="40" bestFit="1" customWidth="1"/>
    <col min="7" max="7" width="15.42578125" style="40" bestFit="1" customWidth="1"/>
    <col min="8" max="8" width="19.28515625" style="40" bestFit="1" customWidth="1"/>
    <col min="9" max="11" width="19" style="40" bestFit="1" customWidth="1"/>
    <col min="12" max="12" width="18.42578125" style="40" bestFit="1" customWidth="1"/>
    <col min="13" max="13" width="20.140625" style="40" bestFit="1" customWidth="1"/>
    <col min="14" max="14" width="25.140625" style="40" bestFit="1" customWidth="1"/>
    <col min="15" max="15" width="18.42578125" style="40" bestFit="1" customWidth="1"/>
    <col min="16" max="16" width="16" style="40" bestFit="1" customWidth="1"/>
    <col min="17" max="17" width="9.140625" style="40"/>
    <col min="18" max="18" width="11" style="40" bestFit="1" customWidth="1"/>
    <col min="19" max="16384" width="9.140625" style="40"/>
  </cols>
  <sheetData>
    <row r="2" spans="1:16" x14ac:dyDescent="0.25">
      <c r="A2" s="36" t="s">
        <v>31</v>
      </c>
      <c r="B2" s="37" t="s">
        <v>123</v>
      </c>
      <c r="C2" s="37" t="s">
        <v>124</v>
      </c>
      <c r="D2" s="37" t="s">
        <v>125</v>
      </c>
      <c r="E2" s="37" t="s">
        <v>126</v>
      </c>
      <c r="F2" s="37" t="s">
        <v>127</v>
      </c>
      <c r="G2" s="37" t="s">
        <v>128</v>
      </c>
      <c r="H2" s="37" t="s">
        <v>129</v>
      </c>
      <c r="I2" s="37" t="s">
        <v>130</v>
      </c>
      <c r="J2" s="37" t="s">
        <v>131</v>
      </c>
      <c r="K2" s="37" t="s">
        <v>132</v>
      </c>
      <c r="L2" s="37" t="s">
        <v>133</v>
      </c>
      <c r="M2" s="38" t="s">
        <v>134</v>
      </c>
      <c r="N2" s="39"/>
    </row>
    <row r="3" spans="1:16" x14ac:dyDescent="0.25">
      <c r="A3" s="41" t="s">
        <v>32</v>
      </c>
      <c r="B3" s="42"/>
      <c r="C3" s="42" t="s">
        <v>33</v>
      </c>
      <c r="D3" s="42" t="s">
        <v>36</v>
      </c>
      <c r="E3" s="42" t="s">
        <v>37</v>
      </c>
      <c r="F3" s="42" t="s">
        <v>38</v>
      </c>
      <c r="G3" s="42" t="s">
        <v>39</v>
      </c>
      <c r="H3" s="42" t="s">
        <v>40</v>
      </c>
      <c r="I3" s="42" t="s">
        <v>41</v>
      </c>
      <c r="J3" s="42" t="s">
        <v>41</v>
      </c>
      <c r="K3" s="42" t="s">
        <v>42</v>
      </c>
      <c r="L3" s="42" t="s">
        <v>43</v>
      </c>
      <c r="M3" s="43" t="s">
        <v>214</v>
      </c>
      <c r="N3" s="39" t="s">
        <v>217</v>
      </c>
      <c r="O3" s="40" t="s">
        <v>220</v>
      </c>
      <c r="P3" s="40" t="s">
        <v>105</v>
      </c>
    </row>
    <row r="4" spans="1:16" x14ac:dyDescent="0.25">
      <c r="A4" s="44" t="s">
        <v>221</v>
      </c>
      <c r="B4" s="45" t="s">
        <v>76</v>
      </c>
      <c r="C4" s="127">
        <v>6120</v>
      </c>
      <c r="D4" s="127">
        <v>26500</v>
      </c>
      <c r="E4" s="127">
        <v>15162</v>
      </c>
      <c r="F4" s="127">
        <v>4677</v>
      </c>
      <c r="G4" s="127">
        <v>26541</v>
      </c>
      <c r="H4" s="127">
        <v>14801</v>
      </c>
      <c r="I4" s="127">
        <v>8200</v>
      </c>
      <c r="J4" s="127">
        <v>155</v>
      </c>
      <c r="K4" s="127">
        <v>36301</v>
      </c>
      <c r="L4" s="127">
        <v>35056</v>
      </c>
      <c r="M4" s="128">
        <v>59325</v>
      </c>
      <c r="N4" s="66">
        <v>31009</v>
      </c>
      <c r="O4" s="108">
        <v>16205</v>
      </c>
    </row>
    <row r="5" spans="1:16" x14ac:dyDescent="0.25">
      <c r="A5" s="48" t="s">
        <v>111</v>
      </c>
      <c r="B5" s="49" t="s">
        <v>77</v>
      </c>
      <c r="C5" s="50">
        <f>Sheet2!B17</f>
        <v>5447544</v>
      </c>
      <c r="D5" s="50">
        <f>Sheet2!C17</f>
        <v>15480428</v>
      </c>
      <c r="E5" s="50">
        <f>Sheet2!D17</f>
        <v>12137175</v>
      </c>
      <c r="F5" s="50">
        <f>Sheet2!E17</f>
        <v>3901681</v>
      </c>
      <c r="G5" s="50">
        <f>Sheet2!F17</f>
        <v>14742192</v>
      </c>
      <c r="H5" s="50">
        <f>Sheet2!G17</f>
        <v>16915887</v>
      </c>
      <c r="I5" s="50"/>
      <c r="J5" s="50">
        <v>314433</v>
      </c>
      <c r="K5" s="50">
        <f>Sheet2!J17</f>
        <v>21829512</v>
      </c>
      <c r="L5" s="50">
        <f>Sheet2!K17</f>
        <v>20066680</v>
      </c>
      <c r="M5" s="51">
        <f>Sheet2!L17</f>
        <v>50034886</v>
      </c>
      <c r="N5" s="50">
        <v>19684512</v>
      </c>
      <c r="P5" s="108">
        <f>SUM(C5:O5)</f>
        <v>180554930</v>
      </c>
    </row>
    <row r="6" spans="1:16" x14ac:dyDescent="0.25">
      <c r="A6" s="52" t="s">
        <v>5</v>
      </c>
      <c r="B6" s="53" t="s">
        <v>77</v>
      </c>
      <c r="C6" s="54">
        <f>Sheet2!B18</f>
        <v>2554207</v>
      </c>
      <c r="D6" s="54">
        <f>Sheet2!C18</f>
        <v>7499713</v>
      </c>
      <c r="E6" s="54">
        <f>Sheet2!D18</f>
        <v>5012419</v>
      </c>
      <c r="F6" s="54">
        <f>Sheet2!E18</f>
        <v>1534480</v>
      </c>
      <c r="G6" s="54">
        <f>Sheet2!F18</f>
        <v>7371100</v>
      </c>
      <c r="H6" s="54">
        <f>Sheet2!G18</f>
        <v>6782604</v>
      </c>
      <c r="I6" s="54"/>
      <c r="J6" s="54">
        <f>Sheet2!I18</f>
        <v>0</v>
      </c>
      <c r="K6" s="54">
        <f>Sheet2!J18</f>
        <v>9731484</v>
      </c>
      <c r="L6" s="54">
        <f>Sheet2!K18</f>
        <v>7899006</v>
      </c>
      <c r="M6" s="55">
        <f>Sheet2!L18</f>
        <v>15620638</v>
      </c>
      <c r="N6" s="54">
        <v>9830875</v>
      </c>
    </row>
    <row r="7" spans="1:16" x14ac:dyDescent="0.25">
      <c r="A7" s="48" t="s">
        <v>6</v>
      </c>
      <c r="B7" s="49" t="s">
        <v>77</v>
      </c>
      <c r="C7" s="56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/>
      <c r="J7" s="42">
        <v>0</v>
      </c>
      <c r="K7" s="42">
        <v>0</v>
      </c>
      <c r="L7" s="42">
        <v>0</v>
      </c>
      <c r="M7" s="43">
        <v>0</v>
      </c>
      <c r="N7" s="42">
        <v>0</v>
      </c>
    </row>
    <row r="8" spans="1:16" x14ac:dyDescent="0.25">
      <c r="A8" s="52" t="s">
        <v>78</v>
      </c>
      <c r="B8" s="53" t="s">
        <v>77</v>
      </c>
      <c r="C8" s="33"/>
      <c r="D8" s="39"/>
      <c r="E8" s="39"/>
      <c r="F8" s="39"/>
      <c r="G8" s="39"/>
      <c r="H8" s="39"/>
      <c r="I8" s="39"/>
      <c r="J8" s="39"/>
      <c r="K8" s="39"/>
      <c r="L8" s="39"/>
      <c r="M8" s="57"/>
      <c r="N8" s="39"/>
    </row>
    <row r="9" spans="1:16" x14ac:dyDescent="0.25">
      <c r="A9" s="48" t="s">
        <v>19</v>
      </c>
      <c r="B9" s="49" t="s">
        <v>77</v>
      </c>
      <c r="C9" s="34"/>
      <c r="D9" s="39"/>
      <c r="E9" s="39"/>
      <c r="F9" s="39"/>
      <c r="G9" s="39"/>
      <c r="H9" s="39"/>
      <c r="I9" s="39"/>
      <c r="J9" s="39"/>
      <c r="K9" s="39"/>
      <c r="L9" s="39"/>
      <c r="M9" s="57"/>
      <c r="N9" s="106"/>
    </row>
    <row r="10" spans="1:16" x14ac:dyDescent="0.25">
      <c r="A10" s="52" t="s">
        <v>11</v>
      </c>
      <c r="B10" s="53" t="s">
        <v>79</v>
      </c>
      <c r="C10" s="58">
        <v>0.06</v>
      </c>
      <c r="D10" s="59">
        <v>0.06</v>
      </c>
      <c r="E10" s="59">
        <v>0.06</v>
      </c>
      <c r="F10" s="59">
        <v>0.06</v>
      </c>
      <c r="G10" s="59">
        <v>0.06</v>
      </c>
      <c r="H10" s="59">
        <v>0.06</v>
      </c>
      <c r="I10" s="59"/>
      <c r="J10" s="59">
        <v>0.06</v>
      </c>
      <c r="K10" s="59">
        <v>0.06</v>
      </c>
      <c r="L10" s="59">
        <v>0.06</v>
      </c>
      <c r="M10" s="60">
        <v>0.06</v>
      </c>
      <c r="N10" s="59">
        <v>0.06</v>
      </c>
    </row>
    <row r="11" spans="1:16" x14ac:dyDescent="0.25">
      <c r="A11" s="126" t="s">
        <v>226</v>
      </c>
      <c r="B11" s="49" t="s">
        <v>74</v>
      </c>
      <c r="C11" s="56">
        <v>5</v>
      </c>
      <c r="D11" s="39">
        <v>5</v>
      </c>
      <c r="E11" s="39">
        <v>5</v>
      </c>
      <c r="F11" s="39">
        <v>5</v>
      </c>
      <c r="G11" s="39">
        <v>5</v>
      </c>
      <c r="H11" s="39">
        <v>5</v>
      </c>
      <c r="I11" s="39"/>
      <c r="J11" s="39">
        <v>1</v>
      </c>
      <c r="K11" s="39">
        <v>5</v>
      </c>
      <c r="L11" s="39">
        <v>5</v>
      </c>
      <c r="M11" s="57">
        <v>5</v>
      </c>
      <c r="N11" s="106">
        <v>5</v>
      </c>
    </row>
    <row r="12" spans="1:16" x14ac:dyDescent="0.25">
      <c r="A12" s="35"/>
      <c r="B12" s="33"/>
      <c r="C12" s="33"/>
      <c r="D12" s="39"/>
      <c r="E12" s="39"/>
      <c r="F12" s="39"/>
      <c r="G12" s="39"/>
      <c r="H12" s="39"/>
      <c r="I12" s="39"/>
      <c r="J12" s="39"/>
      <c r="K12" s="39"/>
      <c r="L12" s="39"/>
      <c r="M12" s="57"/>
      <c r="N12" s="39"/>
    </row>
    <row r="13" spans="1:16" x14ac:dyDescent="0.25">
      <c r="A13" s="48" t="s">
        <v>7</v>
      </c>
      <c r="B13" s="49" t="s">
        <v>77</v>
      </c>
      <c r="C13" s="50">
        <f>C5</f>
        <v>5447544</v>
      </c>
      <c r="D13" s="50">
        <f t="shared" ref="D13:M13" si="0">D5</f>
        <v>15480428</v>
      </c>
      <c r="E13" s="50">
        <f t="shared" si="0"/>
        <v>12137175</v>
      </c>
      <c r="F13" s="50">
        <f t="shared" si="0"/>
        <v>3901681</v>
      </c>
      <c r="G13" s="50">
        <f t="shared" si="0"/>
        <v>14742192</v>
      </c>
      <c r="H13" s="50">
        <f t="shared" si="0"/>
        <v>16915887</v>
      </c>
      <c r="I13" s="50"/>
      <c r="J13" s="50">
        <f t="shared" si="0"/>
        <v>314433</v>
      </c>
      <c r="K13" s="50">
        <f t="shared" si="0"/>
        <v>21829512</v>
      </c>
      <c r="L13" s="50">
        <f t="shared" si="0"/>
        <v>20066680</v>
      </c>
      <c r="M13" s="51">
        <f t="shared" si="0"/>
        <v>50034886</v>
      </c>
      <c r="N13" s="50">
        <f t="shared" ref="N13" si="1">N5</f>
        <v>19684512</v>
      </c>
    </row>
    <row r="14" spans="1:16" x14ac:dyDescent="0.25">
      <c r="A14" s="52" t="s">
        <v>80</v>
      </c>
      <c r="B14" s="53" t="s">
        <v>77</v>
      </c>
      <c r="C14" s="61">
        <f>ROUND(IF(C6&lt;=(C5/12*3),0,(C6-(C5/12*3))*C10),0)</f>
        <v>71539</v>
      </c>
      <c r="D14" s="61">
        <f t="shared" ref="D14:M14" si="2">ROUND(IF(D6&lt;=(D5/12*3),0,(D6-(D5/12*3))*D10),0)</f>
        <v>217776</v>
      </c>
      <c r="E14" s="61">
        <f t="shared" si="2"/>
        <v>118688</v>
      </c>
      <c r="F14" s="61">
        <f t="shared" si="2"/>
        <v>33544</v>
      </c>
      <c r="G14" s="61">
        <f t="shared" si="2"/>
        <v>221133</v>
      </c>
      <c r="H14" s="61">
        <f t="shared" si="2"/>
        <v>153218</v>
      </c>
      <c r="I14" s="61">
        <f t="shared" si="2"/>
        <v>0</v>
      </c>
      <c r="J14" s="61">
        <f t="shared" si="2"/>
        <v>0</v>
      </c>
      <c r="K14" s="61">
        <f t="shared" si="2"/>
        <v>256446</v>
      </c>
      <c r="L14" s="61">
        <f t="shared" si="2"/>
        <v>172940</v>
      </c>
      <c r="M14" s="62">
        <f t="shared" si="2"/>
        <v>186715</v>
      </c>
      <c r="N14" s="61">
        <f t="shared" ref="N14" si="3">ROUND(IF(N6&lt;=(N5/12*3),0,(N6-(N5/12*3))*N10),0)</f>
        <v>294585</v>
      </c>
    </row>
    <row r="15" spans="1:16" x14ac:dyDescent="0.25">
      <c r="A15" s="48" t="s">
        <v>81</v>
      </c>
      <c r="B15" s="49" t="s">
        <v>77</v>
      </c>
      <c r="C15" s="56">
        <v>0</v>
      </c>
      <c r="D15" s="63">
        <f t="shared" ref="D15:M15" si="4">D7</f>
        <v>0</v>
      </c>
      <c r="E15" s="63">
        <f t="shared" si="4"/>
        <v>0</v>
      </c>
      <c r="F15" s="63">
        <f t="shared" si="4"/>
        <v>0</v>
      </c>
      <c r="G15" s="63">
        <f t="shared" si="4"/>
        <v>0</v>
      </c>
      <c r="H15" s="63">
        <f t="shared" si="4"/>
        <v>0</v>
      </c>
      <c r="I15" s="63"/>
      <c r="J15" s="63">
        <f t="shared" ref="J15" si="5">J7</f>
        <v>0</v>
      </c>
      <c r="K15" s="63">
        <f t="shared" si="4"/>
        <v>0</v>
      </c>
      <c r="L15" s="63">
        <f t="shared" si="4"/>
        <v>0</v>
      </c>
      <c r="M15" s="64">
        <f t="shared" si="4"/>
        <v>0</v>
      </c>
      <c r="N15" s="63">
        <f t="shared" ref="N15" si="6">N7</f>
        <v>0</v>
      </c>
    </row>
    <row r="16" spans="1:16" x14ac:dyDescent="0.25">
      <c r="A16" s="52" t="s">
        <v>82</v>
      </c>
      <c r="B16" s="53" t="s">
        <v>77</v>
      </c>
      <c r="C16" s="65">
        <v>0</v>
      </c>
      <c r="D16" s="63">
        <f t="shared" ref="D16:M16" si="7">D15/D11</f>
        <v>0</v>
      </c>
      <c r="E16" s="63">
        <f t="shared" si="7"/>
        <v>0</v>
      </c>
      <c r="F16" s="63">
        <f t="shared" si="7"/>
        <v>0</v>
      </c>
      <c r="G16" s="63">
        <f t="shared" si="7"/>
        <v>0</v>
      </c>
      <c r="H16" s="63">
        <f t="shared" si="7"/>
        <v>0</v>
      </c>
      <c r="I16" s="63"/>
      <c r="J16" s="63">
        <f t="shared" ref="J16" si="8">J15/J11</f>
        <v>0</v>
      </c>
      <c r="K16" s="63">
        <f t="shared" si="7"/>
        <v>0</v>
      </c>
      <c r="L16" s="63">
        <f t="shared" si="7"/>
        <v>0</v>
      </c>
      <c r="M16" s="64">
        <f t="shared" si="7"/>
        <v>0</v>
      </c>
      <c r="N16" s="63">
        <f t="shared" ref="N16" si="9">N15/N11</f>
        <v>0</v>
      </c>
    </row>
    <row r="17" spans="1:19" x14ac:dyDescent="0.25">
      <c r="A17" s="48" t="s">
        <v>18</v>
      </c>
      <c r="B17" s="49" t="s">
        <v>77</v>
      </c>
      <c r="C17" s="34"/>
      <c r="D17" s="39"/>
      <c r="E17" s="39"/>
      <c r="F17" s="39"/>
      <c r="G17" s="39"/>
      <c r="H17" s="39"/>
      <c r="I17" s="39"/>
      <c r="J17" s="39"/>
      <c r="K17" s="39"/>
      <c r="L17" s="39"/>
      <c r="M17" s="57"/>
      <c r="N17" s="106"/>
    </row>
    <row r="18" spans="1:19" x14ac:dyDescent="0.25">
      <c r="A18" s="52" t="s">
        <v>83</v>
      </c>
      <c r="B18" s="53" t="s">
        <v>77</v>
      </c>
      <c r="C18" s="33"/>
      <c r="D18" s="39"/>
      <c r="E18" s="39"/>
      <c r="F18" s="39"/>
      <c r="G18" s="39"/>
      <c r="H18" s="39"/>
      <c r="I18" s="39"/>
      <c r="J18" s="39"/>
      <c r="K18" s="39"/>
      <c r="L18" s="39"/>
      <c r="M18" s="57"/>
      <c r="N18" s="39"/>
    </row>
    <row r="19" spans="1:19" x14ac:dyDescent="0.25">
      <c r="A19" s="48" t="s">
        <v>16</v>
      </c>
      <c r="B19" s="49" t="s">
        <v>77</v>
      </c>
      <c r="C19" s="66">
        <f t="shared" ref="C19:M19" si="10">SUM(C13:C18)</f>
        <v>5519083</v>
      </c>
      <c r="D19" s="66">
        <f t="shared" si="10"/>
        <v>15698204</v>
      </c>
      <c r="E19" s="66">
        <f t="shared" si="10"/>
        <v>12255863</v>
      </c>
      <c r="F19" s="66">
        <f t="shared" si="10"/>
        <v>3935225</v>
      </c>
      <c r="G19" s="66">
        <f t="shared" si="10"/>
        <v>14963325</v>
      </c>
      <c r="H19" s="66">
        <f t="shared" si="10"/>
        <v>17069105</v>
      </c>
      <c r="I19" s="66">
        <f t="shared" si="10"/>
        <v>0</v>
      </c>
      <c r="J19" s="66">
        <f t="shared" si="10"/>
        <v>314433</v>
      </c>
      <c r="K19" s="66">
        <f t="shared" si="10"/>
        <v>22085958</v>
      </c>
      <c r="L19" s="66">
        <f t="shared" si="10"/>
        <v>20239620</v>
      </c>
      <c r="M19" s="67">
        <f t="shared" si="10"/>
        <v>50221601</v>
      </c>
      <c r="N19" s="107">
        <f t="shared" ref="N19" si="11">SUM(N13:N18)</f>
        <v>19979097</v>
      </c>
    </row>
    <row r="20" spans="1:19" x14ac:dyDescent="0.25">
      <c r="A20" s="52" t="s">
        <v>21</v>
      </c>
      <c r="B20" s="53"/>
      <c r="C20" s="33"/>
      <c r="D20" s="39"/>
      <c r="E20" s="39"/>
      <c r="F20" s="39"/>
      <c r="G20" s="39"/>
      <c r="H20" s="39"/>
      <c r="I20" s="39"/>
      <c r="J20" s="39"/>
      <c r="K20" s="39"/>
      <c r="L20" s="39"/>
      <c r="M20" s="57"/>
      <c r="N20" s="39"/>
    </row>
    <row r="21" spans="1:19" x14ac:dyDescent="0.25">
      <c r="A21" s="48" t="s">
        <v>22</v>
      </c>
      <c r="B21" s="49" t="s">
        <v>77</v>
      </c>
      <c r="C21" s="50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/>
      <c r="J21" s="68">
        <v>0</v>
      </c>
      <c r="K21" s="68">
        <v>0</v>
      </c>
      <c r="L21" s="68">
        <v>0</v>
      </c>
      <c r="M21" s="69">
        <v>0</v>
      </c>
      <c r="N21" s="68">
        <v>0</v>
      </c>
    </row>
    <row r="22" spans="1:19" x14ac:dyDescent="0.25">
      <c r="A22" s="52" t="s">
        <v>84</v>
      </c>
      <c r="B22" s="53" t="s">
        <v>77</v>
      </c>
      <c r="C22" s="54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/>
      <c r="J22" s="68">
        <v>0</v>
      </c>
      <c r="K22" s="68">
        <v>0</v>
      </c>
      <c r="L22" s="68">
        <v>0</v>
      </c>
      <c r="M22" s="69">
        <v>0</v>
      </c>
      <c r="N22" s="68">
        <v>0</v>
      </c>
    </row>
    <row r="23" spans="1:19" x14ac:dyDescent="0.25">
      <c r="A23" s="48" t="s">
        <v>113</v>
      </c>
      <c r="B23" s="49" t="s">
        <v>77</v>
      </c>
      <c r="C23" s="68">
        <f>C19*0%</f>
        <v>0</v>
      </c>
      <c r="D23" s="68">
        <f t="shared" ref="D23:M23" si="12">D19*0%</f>
        <v>0</v>
      </c>
      <c r="E23" s="68">
        <f t="shared" si="12"/>
        <v>0</v>
      </c>
      <c r="F23" s="68">
        <f t="shared" si="12"/>
        <v>0</v>
      </c>
      <c r="G23" s="68">
        <f t="shared" si="12"/>
        <v>0</v>
      </c>
      <c r="H23" s="68">
        <f t="shared" si="12"/>
        <v>0</v>
      </c>
      <c r="I23" s="68"/>
      <c r="J23" s="68">
        <f t="shared" si="12"/>
        <v>0</v>
      </c>
      <c r="K23" s="68">
        <f t="shared" si="12"/>
        <v>0</v>
      </c>
      <c r="L23" s="68">
        <f t="shared" si="12"/>
        <v>0</v>
      </c>
      <c r="M23" s="69">
        <f t="shared" si="12"/>
        <v>0</v>
      </c>
      <c r="N23" s="68">
        <f t="shared" ref="N23" si="13">N19*0%</f>
        <v>0</v>
      </c>
    </row>
    <row r="24" spans="1:19" x14ac:dyDescent="0.25">
      <c r="A24" s="52" t="s">
        <v>25</v>
      </c>
      <c r="B24" s="53" t="s">
        <v>77</v>
      </c>
      <c r="C24" s="68">
        <f t="shared" ref="C24:M24" si="14">SUM(C21:C23)</f>
        <v>0</v>
      </c>
      <c r="D24" s="68">
        <f t="shared" si="14"/>
        <v>0</v>
      </c>
      <c r="E24" s="68">
        <f t="shared" si="14"/>
        <v>0</v>
      </c>
      <c r="F24" s="68">
        <f t="shared" si="14"/>
        <v>0</v>
      </c>
      <c r="G24" s="68">
        <f t="shared" si="14"/>
        <v>0</v>
      </c>
      <c r="H24" s="68">
        <f t="shared" si="14"/>
        <v>0</v>
      </c>
      <c r="I24" s="68"/>
      <c r="J24" s="68">
        <f t="shared" ref="J24" si="15">SUM(J21:J23)</f>
        <v>0</v>
      </c>
      <c r="K24" s="68">
        <f t="shared" si="14"/>
        <v>0</v>
      </c>
      <c r="L24" s="68">
        <f t="shared" si="14"/>
        <v>0</v>
      </c>
      <c r="M24" s="69">
        <f t="shared" si="14"/>
        <v>0</v>
      </c>
      <c r="N24" s="68">
        <f t="shared" ref="N24" si="16">SUM(N21:N23)</f>
        <v>0</v>
      </c>
    </row>
    <row r="25" spans="1:19" x14ac:dyDescent="0.25">
      <c r="A25" s="48"/>
      <c r="B25" s="49"/>
      <c r="C25" s="70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68"/>
    </row>
    <row r="26" spans="1:19" x14ac:dyDescent="0.25">
      <c r="A26" s="52" t="s">
        <v>26</v>
      </c>
      <c r="B26" s="53" t="s">
        <v>77</v>
      </c>
      <c r="C26" s="66">
        <f t="shared" ref="C26:M26" si="17">C19-C24</f>
        <v>5519083</v>
      </c>
      <c r="D26" s="66">
        <f t="shared" si="17"/>
        <v>15698204</v>
      </c>
      <c r="E26" s="66">
        <f t="shared" si="17"/>
        <v>12255863</v>
      </c>
      <c r="F26" s="66">
        <f t="shared" si="17"/>
        <v>3935225</v>
      </c>
      <c r="G26" s="66">
        <f t="shared" si="17"/>
        <v>14963325</v>
      </c>
      <c r="H26" s="66">
        <f t="shared" si="17"/>
        <v>17069105</v>
      </c>
      <c r="I26" s="66"/>
      <c r="J26" s="66">
        <f t="shared" ref="J26" si="18">J19-J24</f>
        <v>314433</v>
      </c>
      <c r="K26" s="66">
        <f t="shared" si="17"/>
        <v>22085958</v>
      </c>
      <c r="L26" s="66">
        <f t="shared" si="17"/>
        <v>20239620</v>
      </c>
      <c r="M26" s="67">
        <f t="shared" si="17"/>
        <v>50221601</v>
      </c>
      <c r="N26" s="66">
        <f t="shared" ref="N26" si="19">N19-N24</f>
        <v>19979097</v>
      </c>
    </row>
    <row r="27" spans="1:19" x14ac:dyDescent="0.25">
      <c r="A27" s="48"/>
      <c r="B27" s="140" t="s">
        <v>233</v>
      </c>
      <c r="C27" s="143">
        <v>5.5</v>
      </c>
      <c r="D27" s="143">
        <v>5.5</v>
      </c>
      <c r="E27" s="143">
        <v>5.5</v>
      </c>
      <c r="F27" s="143">
        <v>5.5</v>
      </c>
      <c r="G27" s="143">
        <v>5.5</v>
      </c>
      <c r="H27" s="143">
        <v>5.5</v>
      </c>
      <c r="I27" s="143">
        <v>5.5</v>
      </c>
      <c r="J27" s="143">
        <v>5</v>
      </c>
      <c r="K27" s="143">
        <v>5.5</v>
      </c>
      <c r="L27" s="143">
        <v>5.5</v>
      </c>
      <c r="M27" s="143">
        <v>5</v>
      </c>
      <c r="N27" s="143">
        <v>5.5</v>
      </c>
      <c r="Q27" s="141">
        <v>4.25</v>
      </c>
      <c r="R27" s="141">
        <v>4.5</v>
      </c>
      <c r="S27" s="141">
        <v>4.75</v>
      </c>
    </row>
    <row r="28" spans="1:19" x14ac:dyDescent="0.25">
      <c r="A28" s="126" t="s">
        <v>236</v>
      </c>
      <c r="B28" s="53" t="s">
        <v>77</v>
      </c>
      <c r="C28" s="72">
        <f t="shared" ref="C28:M28" si="20">C26*100/C27</f>
        <v>100346963.63636364</v>
      </c>
      <c r="D28" s="72">
        <f t="shared" si="20"/>
        <v>285421890.90909094</v>
      </c>
      <c r="E28" s="72">
        <f t="shared" si="20"/>
        <v>222833872.72727272</v>
      </c>
      <c r="F28" s="72">
        <f t="shared" si="20"/>
        <v>71549545.454545453</v>
      </c>
      <c r="G28" s="72">
        <f t="shared" si="20"/>
        <v>272060454.54545456</v>
      </c>
      <c r="H28" s="72">
        <f>H26*100/H27</f>
        <v>310347363.63636363</v>
      </c>
      <c r="I28" s="72">
        <f>[1]Summary!$B$16</f>
        <v>42991720.559999987</v>
      </c>
      <c r="J28" s="72">
        <f t="shared" ref="J28" si="21">J26*100/J27</f>
        <v>6288660</v>
      </c>
      <c r="K28" s="72">
        <f t="shared" si="20"/>
        <v>401562872.72727275</v>
      </c>
      <c r="L28" s="72">
        <f t="shared" si="20"/>
        <v>367993090.90909094</v>
      </c>
      <c r="M28" s="73">
        <f t="shared" si="20"/>
        <v>1004432020</v>
      </c>
      <c r="N28" s="72">
        <f t="shared" ref="N28" si="22">N26*100/N27</f>
        <v>363256309.09090906</v>
      </c>
      <c r="O28" s="109">
        <f>O4*16000</f>
        <v>259280000</v>
      </c>
      <c r="P28" s="108">
        <f>SUM(C28:O28)</f>
        <v>3708364764.1963634</v>
      </c>
      <c r="Q28" s="141">
        <v>459</v>
      </c>
      <c r="R28" s="141">
        <v>435</v>
      </c>
      <c r="S28" s="141">
        <v>414</v>
      </c>
    </row>
    <row r="29" spans="1:19" x14ac:dyDescent="0.25">
      <c r="A29" s="52" t="s">
        <v>87</v>
      </c>
      <c r="B29" s="53" t="s">
        <v>77</v>
      </c>
      <c r="C29" s="72">
        <f>MROUND(C28,1000)</f>
        <v>100347000</v>
      </c>
      <c r="D29" s="72">
        <f t="shared" ref="D29:O29" si="23">MROUND(D28,1000)</f>
        <v>285422000</v>
      </c>
      <c r="E29" s="72">
        <f t="shared" si="23"/>
        <v>222834000</v>
      </c>
      <c r="F29" s="72">
        <f t="shared" si="23"/>
        <v>71550000</v>
      </c>
      <c r="G29" s="72">
        <f t="shared" si="23"/>
        <v>272060000</v>
      </c>
      <c r="H29" s="72">
        <f t="shared" si="23"/>
        <v>310347000</v>
      </c>
      <c r="I29" s="72">
        <f t="shared" si="23"/>
        <v>42992000</v>
      </c>
      <c r="J29" s="72">
        <f t="shared" si="23"/>
        <v>6289000</v>
      </c>
      <c r="K29" s="72">
        <f t="shared" si="23"/>
        <v>401563000</v>
      </c>
      <c r="L29" s="72">
        <f t="shared" si="23"/>
        <v>367993000</v>
      </c>
      <c r="M29" s="72">
        <f t="shared" si="23"/>
        <v>1004432000</v>
      </c>
      <c r="N29" s="72">
        <f t="shared" si="23"/>
        <v>363256000</v>
      </c>
      <c r="O29" s="72">
        <f t="shared" si="23"/>
        <v>259280000</v>
      </c>
      <c r="P29" s="108">
        <f>SUM(C29:O29)</f>
        <v>3708365000</v>
      </c>
    </row>
    <row r="30" spans="1:19" ht="17.25" customHeight="1" x14ac:dyDescent="0.25">
      <c r="A30" s="48" t="s">
        <v>86</v>
      </c>
      <c r="B30" s="49" t="s">
        <v>77</v>
      </c>
      <c r="C30" s="72">
        <f>C29/C4</f>
        <v>16396.568627450979</v>
      </c>
      <c r="D30" s="72">
        <f t="shared" ref="D30:H30" si="24">D29/D4</f>
        <v>10770.641509433963</v>
      </c>
      <c r="E30" s="72">
        <f t="shared" si="24"/>
        <v>14696.873763355758</v>
      </c>
      <c r="F30" s="72">
        <f t="shared" si="24"/>
        <v>15298.268120590123</v>
      </c>
      <c r="G30" s="72">
        <f t="shared" si="24"/>
        <v>10250.555743943332</v>
      </c>
      <c r="H30" s="72">
        <f t="shared" si="24"/>
        <v>20967.975136815079</v>
      </c>
      <c r="I30" s="72"/>
      <c r="J30" s="72"/>
      <c r="K30" s="72">
        <f t="shared" ref="K30" si="25">K29/K4</f>
        <v>11062.036858488747</v>
      </c>
      <c r="L30" s="72">
        <f t="shared" ref="L30" si="26">L29/L4</f>
        <v>10497.290050205385</v>
      </c>
      <c r="M30" s="72">
        <f t="shared" ref="M30" si="27">M29/M4</f>
        <v>16931.007163927519</v>
      </c>
      <c r="N30" s="72">
        <f t="shared" ref="N30" si="28">N29/N4</f>
        <v>11714.534489986778</v>
      </c>
      <c r="O30" s="72">
        <f t="shared" ref="O30" si="29">O29/O4</f>
        <v>16000</v>
      </c>
      <c r="Q30" s="142">
        <v>6</v>
      </c>
      <c r="R30" s="142">
        <v>5.5</v>
      </c>
    </row>
    <row r="31" spans="1:19" x14ac:dyDescent="0.25">
      <c r="A31" s="126" t="s">
        <v>227</v>
      </c>
      <c r="B31" s="49" t="s">
        <v>77</v>
      </c>
      <c r="C31" s="79">
        <f>C29</f>
        <v>100347000</v>
      </c>
      <c r="D31" s="79">
        <f t="shared" ref="D31:H31" si="30">D29</f>
        <v>285422000</v>
      </c>
      <c r="E31" s="79">
        <f t="shared" si="30"/>
        <v>222834000</v>
      </c>
      <c r="F31" s="79">
        <f t="shared" si="30"/>
        <v>71550000</v>
      </c>
      <c r="G31" s="79">
        <f t="shared" si="30"/>
        <v>272060000</v>
      </c>
      <c r="H31" s="79">
        <f t="shared" si="30"/>
        <v>310347000</v>
      </c>
      <c r="I31" s="79">
        <f t="shared" ref="I31:N31" si="31">I29</f>
        <v>42992000</v>
      </c>
      <c r="J31" s="79">
        <f t="shared" si="31"/>
        <v>6289000</v>
      </c>
      <c r="K31" s="79">
        <f t="shared" si="31"/>
        <v>401563000</v>
      </c>
      <c r="L31" s="79">
        <f t="shared" si="31"/>
        <v>367993000</v>
      </c>
      <c r="M31" s="79">
        <f t="shared" si="31"/>
        <v>1004432000</v>
      </c>
      <c r="N31" s="79">
        <f t="shared" si="31"/>
        <v>363256000</v>
      </c>
      <c r="O31" s="79">
        <f t="shared" ref="O31" si="32">O29</f>
        <v>259280000</v>
      </c>
      <c r="P31" s="108">
        <f>SUM(C31:O31)</f>
        <v>3708365000</v>
      </c>
      <c r="Q31" s="141">
        <v>334</v>
      </c>
      <c r="R31" s="142">
        <v>362</v>
      </c>
    </row>
    <row r="32" spans="1:19" x14ac:dyDescent="0.25">
      <c r="A32" s="126" t="s">
        <v>228</v>
      </c>
      <c r="B32" s="49" t="s">
        <v>77</v>
      </c>
      <c r="C32" s="66">
        <f>ROUND((C31*0.9),0)</f>
        <v>90312300</v>
      </c>
      <c r="D32" s="66">
        <f t="shared" ref="D32:H32" si="33">ROUND((D31*0.9),0)</f>
        <v>256879800</v>
      </c>
      <c r="E32" s="66">
        <f t="shared" si="33"/>
        <v>200550600</v>
      </c>
      <c r="F32" s="66">
        <f t="shared" si="33"/>
        <v>64395000</v>
      </c>
      <c r="G32" s="66">
        <f t="shared" si="33"/>
        <v>244854000</v>
      </c>
      <c r="H32" s="66">
        <f t="shared" si="33"/>
        <v>279312300</v>
      </c>
      <c r="I32" s="66">
        <f t="shared" ref="I32" si="34">ROUND((I31*0.9),0)</f>
        <v>38692800</v>
      </c>
      <c r="J32" s="66">
        <f t="shared" ref="J32" si="35">ROUND((J31*0.9),0)</f>
        <v>5660100</v>
      </c>
      <c r="K32" s="66">
        <f t="shared" ref="K32" si="36">ROUND((K31*0.9),0)</f>
        <v>361406700</v>
      </c>
      <c r="L32" s="66">
        <f t="shared" ref="L32" si="37">ROUND((L31*0.9),0)</f>
        <v>331193700</v>
      </c>
      <c r="M32" s="66">
        <f t="shared" ref="M32" si="38">ROUND((M31*0.9),0)</f>
        <v>903988800</v>
      </c>
      <c r="N32" s="66">
        <f t="shared" ref="N32:O32" si="39">ROUND((N31*0.9),0)</f>
        <v>326930400</v>
      </c>
      <c r="O32" s="66">
        <f t="shared" si="39"/>
        <v>233352000</v>
      </c>
    </row>
    <row r="33" spans="1:16" x14ac:dyDescent="0.25">
      <c r="A33" s="126" t="s">
        <v>229</v>
      </c>
      <c r="B33" s="49" t="s">
        <v>77</v>
      </c>
      <c r="C33" s="66">
        <f>ROUND((C31*0.8),0)</f>
        <v>80277600</v>
      </c>
      <c r="D33" s="66">
        <f t="shared" ref="D33:H33" si="40">ROUND((D31*0.8),0)</f>
        <v>228337600</v>
      </c>
      <c r="E33" s="66">
        <f t="shared" si="40"/>
        <v>178267200</v>
      </c>
      <c r="F33" s="66">
        <f t="shared" si="40"/>
        <v>57240000</v>
      </c>
      <c r="G33" s="66">
        <f t="shared" si="40"/>
        <v>217648000</v>
      </c>
      <c r="H33" s="66">
        <f t="shared" si="40"/>
        <v>248277600</v>
      </c>
      <c r="I33" s="66">
        <f t="shared" ref="I33:N33" si="41">ROUND((I31*0.8),0)</f>
        <v>34393600</v>
      </c>
      <c r="J33" s="66">
        <f t="shared" si="41"/>
        <v>5031200</v>
      </c>
      <c r="K33" s="66">
        <f t="shared" si="41"/>
        <v>321250400</v>
      </c>
      <c r="L33" s="66">
        <f t="shared" si="41"/>
        <v>294394400</v>
      </c>
      <c r="M33" s="66">
        <f t="shared" si="41"/>
        <v>803545600</v>
      </c>
      <c r="N33" s="66">
        <f t="shared" si="41"/>
        <v>290604800</v>
      </c>
      <c r="O33" s="66">
        <f t="shared" ref="O33" si="42">ROUND((O31*0.8),0)</f>
        <v>207424000</v>
      </c>
    </row>
    <row r="34" spans="1:16" x14ac:dyDescent="0.25">
      <c r="A34" s="126" t="s">
        <v>230</v>
      </c>
      <c r="B34" s="49" t="s">
        <v>77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7"/>
      <c r="N34" s="107"/>
      <c r="O34" s="110"/>
    </row>
    <row r="35" spans="1:16" s="114" customFormat="1" x14ac:dyDescent="0.25">
      <c r="A35" s="111" t="s">
        <v>223</v>
      </c>
      <c r="B35" s="112"/>
      <c r="C35" s="46">
        <v>7344</v>
      </c>
      <c r="D35" s="47">
        <v>31800</v>
      </c>
      <c r="E35" s="47">
        <v>18194</v>
      </c>
      <c r="F35" s="47">
        <v>5612</v>
      </c>
      <c r="G35" s="47">
        <v>31849</v>
      </c>
      <c r="H35" s="47">
        <v>33739</v>
      </c>
      <c r="I35" s="42">
        <v>8200</v>
      </c>
      <c r="J35" s="42">
        <v>10000</v>
      </c>
      <c r="K35" s="47">
        <v>43561</v>
      </c>
      <c r="L35" s="47">
        <v>42067</v>
      </c>
      <c r="M35" s="113"/>
      <c r="N35" s="112">
        <v>31009</v>
      </c>
    </row>
    <row r="36" spans="1:16" s="114" customFormat="1" x14ac:dyDescent="0.25">
      <c r="A36" s="111" t="s">
        <v>68</v>
      </c>
      <c r="B36" s="112"/>
      <c r="C36" s="115">
        <v>13370</v>
      </c>
      <c r="D36" s="115">
        <v>11460</v>
      </c>
      <c r="E36" s="115">
        <v>17290</v>
      </c>
      <c r="F36" s="115">
        <v>15330</v>
      </c>
      <c r="G36" s="115">
        <v>9460</v>
      </c>
      <c r="H36" s="115">
        <v>19160</v>
      </c>
      <c r="I36" s="115">
        <v>0</v>
      </c>
      <c r="J36" s="115">
        <v>0</v>
      </c>
      <c r="K36" s="115">
        <v>10250</v>
      </c>
      <c r="L36" s="115">
        <v>10610</v>
      </c>
      <c r="M36" s="116">
        <v>0</v>
      </c>
      <c r="N36" s="117">
        <v>9640</v>
      </c>
      <c r="O36" s="118">
        <v>14000</v>
      </c>
    </row>
    <row r="37" spans="1:16" s="114" customFormat="1" x14ac:dyDescent="0.25">
      <c r="A37" s="111" t="s">
        <v>69</v>
      </c>
      <c r="B37" s="112" t="s">
        <v>115</v>
      </c>
      <c r="C37" s="115">
        <f>C35*C36</f>
        <v>98189280</v>
      </c>
      <c r="D37" s="115">
        <f t="shared" ref="D37:H37" si="43">D35*D36</f>
        <v>364428000</v>
      </c>
      <c r="E37" s="115">
        <f t="shared" si="43"/>
        <v>314574260</v>
      </c>
      <c r="F37" s="115">
        <f t="shared" si="43"/>
        <v>86031960</v>
      </c>
      <c r="G37" s="115">
        <f t="shared" si="43"/>
        <v>301291540</v>
      </c>
      <c r="H37" s="115">
        <f t="shared" si="43"/>
        <v>646439240</v>
      </c>
      <c r="I37" s="115">
        <v>81206583</v>
      </c>
      <c r="J37" s="115">
        <v>25125016</v>
      </c>
      <c r="K37" s="115">
        <f t="shared" ref="K37" si="44">K35*K36</f>
        <v>446500250</v>
      </c>
      <c r="L37" s="115">
        <f t="shared" ref="L37" si="45">L35*L36</f>
        <v>446330870</v>
      </c>
      <c r="M37" s="116">
        <v>863148000</v>
      </c>
      <c r="N37" s="115">
        <f>N4*N36</f>
        <v>298926760</v>
      </c>
      <c r="O37" s="115">
        <v>224350000</v>
      </c>
      <c r="P37" s="118">
        <f>SUM(C37:O37)</f>
        <v>4196541759</v>
      </c>
    </row>
    <row r="38" spans="1:16" s="114" customFormat="1" x14ac:dyDescent="0.25">
      <c r="A38" s="119" t="s">
        <v>71</v>
      </c>
      <c r="B38" s="120" t="s">
        <v>71</v>
      </c>
      <c r="C38" s="121">
        <f>C31-C37</f>
        <v>2157720</v>
      </c>
      <c r="D38" s="121">
        <f t="shared" ref="D38:M38" si="46">D31-D37</f>
        <v>-79006000</v>
      </c>
      <c r="E38" s="121">
        <f t="shared" si="46"/>
        <v>-91740260</v>
      </c>
      <c r="F38" s="121">
        <f t="shared" si="46"/>
        <v>-14481960</v>
      </c>
      <c r="G38" s="121">
        <f t="shared" si="46"/>
        <v>-29231540</v>
      </c>
      <c r="H38" s="121">
        <f t="shared" si="46"/>
        <v>-336092240</v>
      </c>
      <c r="I38" s="121">
        <f t="shared" si="46"/>
        <v>-38214583</v>
      </c>
      <c r="J38" s="121">
        <f t="shared" si="46"/>
        <v>-18836016</v>
      </c>
      <c r="K38" s="121">
        <f t="shared" si="46"/>
        <v>-44937250</v>
      </c>
      <c r="L38" s="121">
        <f t="shared" si="46"/>
        <v>-78337870</v>
      </c>
      <c r="M38" s="122">
        <f t="shared" si="46"/>
        <v>141284000</v>
      </c>
      <c r="N38" s="117">
        <f t="shared" ref="N38:O38" si="47">N31-N37</f>
        <v>64329240</v>
      </c>
      <c r="O38" s="117">
        <f t="shared" si="47"/>
        <v>34930000</v>
      </c>
      <c r="P38" s="118">
        <f>SUM(C38:O38)</f>
        <v>-488176759</v>
      </c>
    </row>
    <row r="40" spans="1:16" x14ac:dyDescent="0.25">
      <c r="P40" s="108">
        <f>P31-P37</f>
        <v>-488176759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P18"/>
  <sheetViews>
    <sheetView workbookViewId="0">
      <selection activeCell="AP24" sqref="AP24"/>
    </sheetView>
  </sheetViews>
  <sheetFormatPr defaultRowHeight="15" x14ac:dyDescent="0.25"/>
  <cols>
    <col min="2" max="2" width="27.140625" bestFit="1" customWidth="1"/>
    <col min="3" max="3" width="9.28515625" bestFit="1" customWidth="1"/>
    <col min="4" max="4" width="13.42578125" bestFit="1" customWidth="1"/>
    <col min="5" max="5" width="17" customWidth="1"/>
    <col min="6" max="6" width="9.140625" hidden="1" customWidth="1"/>
    <col min="7" max="8" width="8.7109375" hidden="1" customWidth="1"/>
    <col min="9" max="9" width="9.28515625" hidden="1" customWidth="1"/>
    <col min="10" max="10" width="7.28515625" hidden="1" customWidth="1"/>
    <col min="11" max="11" width="9.140625" hidden="1" customWidth="1"/>
    <col min="12" max="12" width="12.85546875" hidden="1" customWidth="1"/>
    <col min="13" max="13" width="10.42578125" hidden="1" customWidth="1"/>
    <col min="14" max="14" width="8.7109375" hidden="1" customWidth="1"/>
    <col min="15" max="15" width="7.7109375" hidden="1" customWidth="1"/>
    <col min="16" max="16" width="9" hidden="1" customWidth="1"/>
    <col min="17" max="17" width="9.140625" hidden="1" customWidth="1"/>
    <col min="18" max="18" width="12.85546875" hidden="1" customWidth="1"/>
    <col min="19" max="19" width="9.140625" hidden="1" customWidth="1"/>
    <col min="20" max="20" width="8.7109375" hidden="1" customWidth="1"/>
    <col min="21" max="21" width="8.85546875" hidden="1" customWidth="1"/>
    <col min="22" max="22" width="7.42578125" hidden="1" customWidth="1"/>
    <col min="23" max="23" width="8.85546875" hidden="1" customWidth="1"/>
    <col min="24" max="24" width="9.140625" hidden="1" customWidth="1"/>
    <col min="25" max="25" width="12.85546875" hidden="1" customWidth="1"/>
    <col min="26" max="26" width="15.28515625" hidden="1" customWidth="1"/>
    <col min="27" max="27" width="15.85546875" hidden="1" customWidth="1"/>
    <col min="28" max="28" width="11" hidden="1" customWidth="1"/>
    <col min="29" max="29" width="9" hidden="1" customWidth="1"/>
    <col min="30" max="32" width="15.42578125" hidden="1" customWidth="1"/>
    <col min="33" max="33" width="9.140625" hidden="1" customWidth="1"/>
    <col min="34" max="34" width="17.42578125" hidden="1" customWidth="1"/>
    <col min="35" max="35" width="15.42578125" hidden="1" customWidth="1"/>
    <col min="36" max="36" width="14.7109375" hidden="1" customWidth="1"/>
    <col min="37" max="37" width="15.42578125" hidden="1" customWidth="1"/>
    <col min="38" max="38" width="16" hidden="1" customWidth="1"/>
    <col min="39" max="39" width="0" hidden="1" customWidth="1"/>
    <col min="40" max="40" width="12" hidden="1" customWidth="1"/>
    <col min="41" max="41" width="11" bestFit="1" customWidth="1"/>
  </cols>
  <sheetData>
    <row r="2" spans="1:42" s="30" customFormat="1" ht="60" x14ac:dyDescent="0.25">
      <c r="A2" s="31" t="s">
        <v>31</v>
      </c>
      <c r="B2" s="31" t="s">
        <v>32</v>
      </c>
      <c r="C2" s="31" t="s">
        <v>72</v>
      </c>
      <c r="D2" s="31" t="s">
        <v>111</v>
      </c>
      <c r="E2" s="31" t="s">
        <v>5</v>
      </c>
      <c r="F2" s="31" t="s">
        <v>6</v>
      </c>
      <c r="G2" s="31" t="s">
        <v>78</v>
      </c>
      <c r="H2" s="31" t="s">
        <v>19</v>
      </c>
      <c r="I2" s="31" t="s">
        <v>11</v>
      </c>
      <c r="J2" s="31" t="s">
        <v>14</v>
      </c>
      <c r="K2" s="31"/>
      <c r="L2" s="31" t="s">
        <v>7</v>
      </c>
      <c r="M2" s="31" t="s">
        <v>80</v>
      </c>
      <c r="N2" s="31" t="s">
        <v>81</v>
      </c>
      <c r="O2" s="31" t="s">
        <v>82</v>
      </c>
      <c r="P2" s="31" t="s">
        <v>18</v>
      </c>
      <c r="Q2" s="31" t="s">
        <v>83</v>
      </c>
      <c r="R2" s="31" t="s">
        <v>16</v>
      </c>
      <c r="S2" s="31" t="s">
        <v>21</v>
      </c>
      <c r="T2" s="31" t="s">
        <v>22</v>
      </c>
      <c r="U2" s="31" t="s">
        <v>84</v>
      </c>
      <c r="V2" s="31" t="s">
        <v>113</v>
      </c>
      <c r="W2" s="31" t="s">
        <v>25</v>
      </c>
      <c r="X2" s="31"/>
      <c r="Y2" s="31" t="s">
        <v>26</v>
      </c>
      <c r="Z2" s="31"/>
      <c r="AA2" s="31" t="s">
        <v>117</v>
      </c>
      <c r="AB2" s="32" t="s">
        <v>86</v>
      </c>
      <c r="AC2" s="32" t="s">
        <v>87</v>
      </c>
      <c r="AD2" s="32" t="s">
        <v>70</v>
      </c>
      <c r="AE2" s="32" t="s">
        <v>88</v>
      </c>
      <c r="AF2" s="32" t="s">
        <v>89</v>
      </c>
      <c r="AG2" s="32"/>
      <c r="AH2" s="32" t="s">
        <v>68</v>
      </c>
      <c r="AI2" s="32" t="s">
        <v>69</v>
      </c>
      <c r="AJ2" s="32" t="s">
        <v>71</v>
      </c>
      <c r="AK2" s="30" t="s">
        <v>224</v>
      </c>
      <c r="AL2" s="31" t="s">
        <v>117</v>
      </c>
      <c r="AO2" s="31" t="s">
        <v>234</v>
      </c>
      <c r="AP2" s="31" t="s">
        <v>235</v>
      </c>
    </row>
    <row r="3" spans="1:42" s="30" customFormat="1" x14ac:dyDescent="0.25">
      <c r="A3" s="29"/>
      <c r="B3" s="29"/>
      <c r="C3" s="29" t="s">
        <v>76</v>
      </c>
      <c r="D3" s="29" t="s">
        <v>121</v>
      </c>
      <c r="E3" s="29" t="s">
        <v>122</v>
      </c>
      <c r="F3" s="29" t="s">
        <v>116</v>
      </c>
      <c r="G3" s="29" t="s">
        <v>116</v>
      </c>
      <c r="H3" s="29" t="s">
        <v>116</v>
      </c>
      <c r="I3" s="29" t="s">
        <v>79</v>
      </c>
      <c r="J3" s="29" t="s">
        <v>74</v>
      </c>
      <c r="K3" s="29"/>
      <c r="L3" s="29" t="s">
        <v>116</v>
      </c>
      <c r="M3" s="29" t="s">
        <v>116</v>
      </c>
      <c r="N3" s="29" t="s">
        <v>116</v>
      </c>
      <c r="O3" s="29" t="s">
        <v>116</v>
      </c>
      <c r="P3" s="29" t="s">
        <v>116</v>
      </c>
      <c r="Q3" s="29" t="s">
        <v>116</v>
      </c>
      <c r="R3" s="29" t="s">
        <v>116</v>
      </c>
      <c r="S3" s="29"/>
      <c r="T3" s="29" t="s">
        <v>116</v>
      </c>
      <c r="U3" s="29" t="s">
        <v>116</v>
      </c>
      <c r="V3" s="29" t="s">
        <v>116</v>
      </c>
      <c r="W3" s="29" t="s">
        <v>116</v>
      </c>
      <c r="X3" s="29"/>
      <c r="Y3" s="29"/>
      <c r="Z3" s="29" t="s">
        <v>75</v>
      </c>
      <c r="AA3" s="29" t="s">
        <v>122</v>
      </c>
      <c r="AB3" s="29" t="s">
        <v>116</v>
      </c>
      <c r="AC3" s="29"/>
      <c r="AD3" s="29" t="s">
        <v>73</v>
      </c>
      <c r="AE3" s="29"/>
      <c r="AF3" s="29"/>
      <c r="AG3" s="29"/>
      <c r="AH3" s="29"/>
      <c r="AI3" s="29" t="s">
        <v>115</v>
      </c>
      <c r="AJ3" s="29" t="s">
        <v>71</v>
      </c>
      <c r="AL3" s="29"/>
    </row>
    <row r="4" spans="1:42" x14ac:dyDescent="0.25">
      <c r="A4" s="28">
        <v>1</v>
      </c>
      <c r="B4" s="18" t="s">
        <v>91</v>
      </c>
      <c r="C4" s="137">
        <v>6120</v>
      </c>
      <c r="D4" s="137">
        <v>5447544</v>
      </c>
      <c r="E4" s="137">
        <v>2554207</v>
      </c>
      <c r="F4" s="137">
        <v>0</v>
      </c>
      <c r="G4" s="137"/>
      <c r="H4" s="137"/>
      <c r="I4" s="137">
        <v>0.06</v>
      </c>
      <c r="J4" s="137">
        <v>5</v>
      </c>
      <c r="K4" s="137"/>
      <c r="L4" s="137">
        <v>5447544</v>
      </c>
      <c r="M4" s="137">
        <v>71539.259999999995</v>
      </c>
      <c r="N4" s="137">
        <v>0</v>
      </c>
      <c r="O4" s="137">
        <v>0</v>
      </c>
      <c r="P4" s="137"/>
      <c r="Q4" s="137"/>
      <c r="R4" s="137">
        <v>5519083.2599999998</v>
      </c>
      <c r="S4" s="137"/>
      <c r="T4" s="137">
        <v>0</v>
      </c>
      <c r="U4" s="137">
        <v>0</v>
      </c>
      <c r="V4" s="137">
        <v>0</v>
      </c>
      <c r="W4" s="137">
        <v>0</v>
      </c>
      <c r="X4" s="137"/>
      <c r="Y4" s="137">
        <v>5519083.2599999998</v>
      </c>
      <c r="Z4" s="137">
        <v>4</v>
      </c>
      <c r="AA4" s="137">
        <v>137977075</v>
      </c>
      <c r="AB4" s="137">
        <v>18788</v>
      </c>
      <c r="AC4" s="137">
        <v>18800</v>
      </c>
      <c r="AD4" s="137">
        <v>138067200</v>
      </c>
      <c r="AE4" s="137">
        <v>124260480</v>
      </c>
      <c r="AF4" s="137">
        <v>110453760</v>
      </c>
      <c r="AG4" s="137"/>
      <c r="AH4" s="137">
        <v>13370</v>
      </c>
      <c r="AI4" s="137">
        <v>98189280</v>
      </c>
      <c r="AJ4" s="137">
        <v>39877920</v>
      </c>
      <c r="AK4" s="135">
        <v>98189280</v>
      </c>
      <c r="AL4" s="137">
        <f>MROUND(AA4,500)</f>
        <v>137977000</v>
      </c>
      <c r="AN4">
        <v>100346963.63636364</v>
      </c>
      <c r="AO4">
        <f>MROUND(AN4,1000)</f>
        <v>100347000</v>
      </c>
      <c r="AP4">
        <f>ROUND(AO4/10^7,2)</f>
        <v>10.029999999999999</v>
      </c>
    </row>
    <row r="5" spans="1:42" x14ac:dyDescent="0.25">
      <c r="A5" s="28">
        <v>2</v>
      </c>
      <c r="B5" s="18" t="s">
        <v>36</v>
      </c>
      <c r="C5" s="137">
        <v>26500</v>
      </c>
      <c r="D5" s="137">
        <v>15480428</v>
      </c>
      <c r="E5" s="137">
        <v>7499713</v>
      </c>
      <c r="F5" s="137">
        <v>0</v>
      </c>
      <c r="G5" s="137"/>
      <c r="H5" s="137"/>
      <c r="I5" s="137">
        <v>0.06</v>
      </c>
      <c r="J5" s="137">
        <v>5</v>
      </c>
      <c r="K5" s="137"/>
      <c r="L5" s="137">
        <v>15480428</v>
      </c>
      <c r="M5" s="137">
        <v>217776.36</v>
      </c>
      <c r="N5" s="137">
        <v>0</v>
      </c>
      <c r="O5" s="137">
        <v>0</v>
      </c>
      <c r="P5" s="137"/>
      <c r="Q5" s="137"/>
      <c r="R5" s="137">
        <v>15698204.359999999</v>
      </c>
      <c r="S5" s="137"/>
      <c r="T5" s="137">
        <v>0</v>
      </c>
      <c r="U5" s="137">
        <v>0</v>
      </c>
      <c r="V5" s="137">
        <v>0</v>
      </c>
      <c r="W5" s="137">
        <v>0</v>
      </c>
      <c r="X5" s="137"/>
      <c r="Y5" s="137">
        <v>15698204.359999999</v>
      </c>
      <c r="Z5" s="137">
        <v>4</v>
      </c>
      <c r="AA5" s="137">
        <v>392455100</v>
      </c>
      <c r="AB5" s="137">
        <v>12341</v>
      </c>
      <c r="AC5" s="137">
        <v>12300</v>
      </c>
      <c r="AD5" s="137">
        <v>391140000</v>
      </c>
      <c r="AE5" s="137">
        <v>352026000</v>
      </c>
      <c r="AF5" s="137">
        <v>316823400</v>
      </c>
      <c r="AG5" s="137"/>
      <c r="AH5" s="137">
        <v>11460</v>
      </c>
      <c r="AI5" s="137">
        <v>364428000</v>
      </c>
      <c r="AJ5" s="137">
        <v>26712000</v>
      </c>
      <c r="AK5" s="135">
        <v>364428000</v>
      </c>
      <c r="AL5" s="137">
        <f t="shared" ref="AL5:AL16" si="0">MROUND(AA5,500)</f>
        <v>392455000</v>
      </c>
      <c r="AN5">
        <v>285421890.90909094</v>
      </c>
      <c r="AO5">
        <f t="shared" ref="AO5:AO16" si="1">MROUND(AN5,1000)</f>
        <v>285422000</v>
      </c>
      <c r="AP5">
        <f t="shared" ref="AP5:AP18" si="2">ROUND(AO5/10^7,2)</f>
        <v>28.54</v>
      </c>
    </row>
    <row r="6" spans="1:42" x14ac:dyDescent="0.25">
      <c r="A6" s="28">
        <v>3</v>
      </c>
      <c r="B6" s="18" t="s">
        <v>37</v>
      </c>
      <c r="C6" s="137">
        <v>15162</v>
      </c>
      <c r="D6" s="137">
        <v>12137175</v>
      </c>
      <c r="E6" s="137">
        <v>5012419</v>
      </c>
      <c r="F6" s="137">
        <v>0</v>
      </c>
      <c r="G6" s="137"/>
      <c r="H6" s="137"/>
      <c r="I6" s="137">
        <v>0.06</v>
      </c>
      <c r="J6" s="137">
        <v>5</v>
      </c>
      <c r="K6" s="137"/>
      <c r="L6" s="137">
        <v>12137175</v>
      </c>
      <c r="M6" s="137">
        <v>118687.515</v>
      </c>
      <c r="N6" s="137">
        <v>0</v>
      </c>
      <c r="O6" s="137">
        <v>0</v>
      </c>
      <c r="P6" s="137"/>
      <c r="Q6" s="137"/>
      <c r="R6" s="137">
        <v>12255862.515000001</v>
      </c>
      <c r="S6" s="137"/>
      <c r="T6" s="137">
        <v>0</v>
      </c>
      <c r="U6" s="137">
        <v>0</v>
      </c>
      <c r="V6" s="137">
        <v>0</v>
      </c>
      <c r="W6" s="137">
        <v>0</v>
      </c>
      <c r="X6" s="137"/>
      <c r="Y6" s="137">
        <v>12255862.515000001</v>
      </c>
      <c r="Z6" s="137">
        <v>4</v>
      </c>
      <c r="AA6" s="137">
        <v>306396575</v>
      </c>
      <c r="AB6" s="137">
        <v>16841</v>
      </c>
      <c r="AC6" s="137">
        <v>16800</v>
      </c>
      <c r="AD6" s="137">
        <v>305659200</v>
      </c>
      <c r="AE6" s="137">
        <v>275093280</v>
      </c>
      <c r="AF6" s="137">
        <v>247583952</v>
      </c>
      <c r="AG6" s="137"/>
      <c r="AH6" s="137">
        <v>17290</v>
      </c>
      <c r="AI6" s="137">
        <v>314574260</v>
      </c>
      <c r="AJ6" s="137">
        <v>-8915060</v>
      </c>
      <c r="AK6" s="135">
        <v>314574260</v>
      </c>
      <c r="AL6" s="137">
        <f t="shared" si="0"/>
        <v>306396500</v>
      </c>
      <c r="AN6">
        <v>222833872.72727272</v>
      </c>
      <c r="AO6">
        <f t="shared" si="1"/>
        <v>222834000</v>
      </c>
      <c r="AP6">
        <f t="shared" si="2"/>
        <v>22.28</v>
      </c>
    </row>
    <row r="7" spans="1:42" x14ac:dyDescent="0.25">
      <c r="A7" s="28">
        <v>4</v>
      </c>
      <c r="B7" s="18" t="s">
        <v>38</v>
      </c>
      <c r="C7" s="137">
        <v>4677</v>
      </c>
      <c r="D7" s="137">
        <v>3901681</v>
      </c>
      <c r="E7" s="137">
        <v>1534480</v>
      </c>
      <c r="F7" s="137">
        <v>0</v>
      </c>
      <c r="G7" s="137"/>
      <c r="H7" s="137"/>
      <c r="I7" s="137">
        <v>0.06</v>
      </c>
      <c r="J7" s="137">
        <v>5</v>
      </c>
      <c r="K7" s="137"/>
      <c r="L7" s="137">
        <v>3901681</v>
      </c>
      <c r="M7" s="137">
        <v>33543.584999999999</v>
      </c>
      <c r="N7" s="137">
        <v>0</v>
      </c>
      <c r="O7" s="137">
        <v>0</v>
      </c>
      <c r="P7" s="137"/>
      <c r="Q7" s="137"/>
      <c r="R7" s="137">
        <v>3935224.585</v>
      </c>
      <c r="S7" s="137"/>
      <c r="T7" s="137">
        <v>0</v>
      </c>
      <c r="U7" s="137">
        <v>0</v>
      </c>
      <c r="V7" s="137">
        <v>0</v>
      </c>
      <c r="W7" s="137">
        <v>0</v>
      </c>
      <c r="X7" s="137"/>
      <c r="Y7" s="137">
        <v>3935224.585</v>
      </c>
      <c r="Z7" s="137">
        <v>4</v>
      </c>
      <c r="AA7" s="137">
        <v>98380625</v>
      </c>
      <c r="AB7" s="137">
        <v>17530</v>
      </c>
      <c r="AC7" s="137">
        <v>17500</v>
      </c>
      <c r="AD7" s="137">
        <v>98210000</v>
      </c>
      <c r="AE7" s="137">
        <v>88389000</v>
      </c>
      <c r="AF7" s="137">
        <v>79550100</v>
      </c>
      <c r="AG7" s="137"/>
      <c r="AH7" s="137">
        <v>15330</v>
      </c>
      <c r="AI7" s="137">
        <v>86031960</v>
      </c>
      <c r="AJ7" s="137">
        <v>12178040</v>
      </c>
      <c r="AK7" s="135">
        <v>86031960</v>
      </c>
      <c r="AL7" s="137">
        <f t="shared" si="0"/>
        <v>98380500</v>
      </c>
      <c r="AN7">
        <v>71549545.454545453</v>
      </c>
      <c r="AO7">
        <f t="shared" si="1"/>
        <v>71550000</v>
      </c>
      <c r="AP7">
        <f t="shared" si="2"/>
        <v>7.16</v>
      </c>
    </row>
    <row r="8" spans="1:42" x14ac:dyDescent="0.25">
      <c r="A8" s="28">
        <v>5</v>
      </c>
      <c r="B8" s="18" t="s">
        <v>39</v>
      </c>
      <c r="C8" s="137">
        <v>26541</v>
      </c>
      <c r="D8" s="137">
        <v>14742192</v>
      </c>
      <c r="E8" s="137">
        <v>7371100</v>
      </c>
      <c r="F8" s="137">
        <v>0</v>
      </c>
      <c r="G8" s="137"/>
      <c r="H8" s="137"/>
      <c r="I8" s="137">
        <v>0.06</v>
      </c>
      <c r="J8" s="137">
        <v>5</v>
      </c>
      <c r="K8" s="137"/>
      <c r="L8" s="137">
        <v>14742192</v>
      </c>
      <c r="M8" s="137">
        <v>221133.12</v>
      </c>
      <c r="N8" s="137">
        <v>0</v>
      </c>
      <c r="O8" s="137">
        <v>0</v>
      </c>
      <c r="P8" s="137"/>
      <c r="Q8" s="137"/>
      <c r="R8" s="137">
        <v>14963325.119999999</v>
      </c>
      <c r="S8" s="137"/>
      <c r="T8" s="137">
        <v>0</v>
      </c>
      <c r="U8" s="137">
        <v>0</v>
      </c>
      <c r="V8" s="137">
        <v>0</v>
      </c>
      <c r="W8" s="137">
        <v>0</v>
      </c>
      <c r="X8" s="137"/>
      <c r="Y8" s="137">
        <v>14963325.119999999</v>
      </c>
      <c r="Z8" s="137">
        <v>4</v>
      </c>
      <c r="AA8" s="137">
        <v>374083125</v>
      </c>
      <c r="AB8" s="137">
        <v>11746</v>
      </c>
      <c r="AC8" s="137">
        <v>11700</v>
      </c>
      <c r="AD8" s="137">
        <v>372633300</v>
      </c>
      <c r="AE8" s="137">
        <v>335369970</v>
      </c>
      <c r="AF8" s="137">
        <v>301832973</v>
      </c>
      <c r="AG8" s="137"/>
      <c r="AH8" s="137">
        <v>9460</v>
      </c>
      <c r="AI8" s="137">
        <v>301291540</v>
      </c>
      <c r="AJ8" s="137">
        <v>71341760</v>
      </c>
      <c r="AK8" s="135">
        <v>301291540</v>
      </c>
      <c r="AL8" s="137">
        <f t="shared" si="0"/>
        <v>374083000</v>
      </c>
      <c r="AN8">
        <v>272060454.54545456</v>
      </c>
      <c r="AO8">
        <f t="shared" si="1"/>
        <v>272060000</v>
      </c>
      <c r="AP8">
        <f t="shared" si="2"/>
        <v>27.21</v>
      </c>
    </row>
    <row r="9" spans="1:42" x14ac:dyDescent="0.25">
      <c r="A9" s="28">
        <v>6</v>
      </c>
      <c r="B9" s="18" t="s">
        <v>40</v>
      </c>
      <c r="C9" s="137">
        <v>14801</v>
      </c>
      <c r="D9" s="137">
        <v>16915887</v>
      </c>
      <c r="E9" s="137">
        <v>6782604</v>
      </c>
      <c r="F9" s="137">
        <v>0</v>
      </c>
      <c r="G9" s="137"/>
      <c r="H9" s="137"/>
      <c r="I9" s="137">
        <v>0.06</v>
      </c>
      <c r="J9" s="137">
        <v>5</v>
      </c>
      <c r="K9" s="137"/>
      <c r="L9" s="137">
        <v>16915887</v>
      </c>
      <c r="M9" s="137">
        <v>153217.935</v>
      </c>
      <c r="N9" s="137">
        <v>0</v>
      </c>
      <c r="O9" s="137">
        <v>0</v>
      </c>
      <c r="P9" s="137"/>
      <c r="Q9" s="137"/>
      <c r="R9" s="137">
        <v>17069104.934999999</v>
      </c>
      <c r="S9" s="137"/>
      <c r="T9" s="137">
        <v>0</v>
      </c>
      <c r="U9" s="137">
        <v>0</v>
      </c>
      <c r="V9" s="137">
        <v>0</v>
      </c>
      <c r="W9" s="137">
        <v>0</v>
      </c>
      <c r="X9" s="137"/>
      <c r="Y9" s="137">
        <v>17069104.934999999</v>
      </c>
      <c r="Z9" s="137">
        <v>4</v>
      </c>
      <c r="AA9" s="137">
        <v>426727625</v>
      </c>
      <c r="AB9" s="137">
        <v>12648</v>
      </c>
      <c r="AC9" s="137">
        <v>12600</v>
      </c>
      <c r="AD9" s="137">
        <v>425111400</v>
      </c>
      <c r="AE9" s="137">
        <v>382600260</v>
      </c>
      <c r="AF9" s="137">
        <v>344340234</v>
      </c>
      <c r="AG9" s="137"/>
      <c r="AH9" s="137">
        <v>19160</v>
      </c>
      <c r="AI9" s="137">
        <v>646439240</v>
      </c>
      <c r="AJ9" s="137">
        <v>-221327840</v>
      </c>
      <c r="AK9" s="135">
        <v>646439240</v>
      </c>
      <c r="AL9" s="137">
        <f t="shared" si="0"/>
        <v>426727500</v>
      </c>
      <c r="AN9">
        <v>310347363.63636363</v>
      </c>
      <c r="AO9">
        <f t="shared" si="1"/>
        <v>310347000</v>
      </c>
      <c r="AP9">
        <f t="shared" si="2"/>
        <v>31.03</v>
      </c>
    </row>
    <row r="10" spans="1:42" x14ac:dyDescent="0.25">
      <c r="A10" s="28">
        <v>7</v>
      </c>
      <c r="B10" s="18" t="s">
        <v>41</v>
      </c>
      <c r="C10" s="137">
        <v>8200</v>
      </c>
      <c r="D10" s="137" t="s">
        <v>225</v>
      </c>
      <c r="E10" s="137" t="s">
        <v>225</v>
      </c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>
        <v>4</v>
      </c>
      <c r="AA10" s="137">
        <v>42991720.559999987</v>
      </c>
      <c r="AB10" s="137"/>
      <c r="AC10" s="137"/>
      <c r="AD10" s="137">
        <v>42991720.559999987</v>
      </c>
      <c r="AE10" s="137">
        <v>38692549</v>
      </c>
      <c r="AF10" s="137">
        <v>34823294</v>
      </c>
      <c r="AG10" s="137"/>
      <c r="AH10" s="137">
        <v>0</v>
      </c>
      <c r="AI10" s="137">
        <v>81206583</v>
      </c>
      <c r="AJ10" s="137">
        <v>-38214862.440000013</v>
      </c>
      <c r="AK10" s="123">
        <v>81206583</v>
      </c>
      <c r="AL10" s="137">
        <f t="shared" si="0"/>
        <v>42991500</v>
      </c>
      <c r="AN10">
        <v>42991720.559999987</v>
      </c>
      <c r="AO10">
        <f t="shared" si="1"/>
        <v>42992000</v>
      </c>
      <c r="AP10">
        <f t="shared" si="2"/>
        <v>4.3</v>
      </c>
    </row>
    <row r="11" spans="1:42" x14ac:dyDescent="0.25">
      <c r="A11" s="28">
        <v>8</v>
      </c>
      <c r="B11" s="18" t="s">
        <v>41</v>
      </c>
      <c r="C11" s="137">
        <v>10000</v>
      </c>
      <c r="D11" s="137" t="s">
        <v>225</v>
      </c>
      <c r="E11" s="137" t="s">
        <v>225</v>
      </c>
      <c r="F11" s="137">
        <v>0</v>
      </c>
      <c r="G11" s="137"/>
      <c r="H11" s="137"/>
      <c r="I11" s="137">
        <v>0.06</v>
      </c>
      <c r="J11" s="137">
        <v>5</v>
      </c>
      <c r="K11" s="137"/>
      <c r="L11" s="137">
        <v>3113807</v>
      </c>
      <c r="M11" s="137">
        <v>0</v>
      </c>
      <c r="N11" s="137">
        <v>0</v>
      </c>
      <c r="O11" s="137">
        <v>0</v>
      </c>
      <c r="P11" s="137"/>
      <c r="Q11" s="137"/>
      <c r="R11" s="137">
        <v>3113807</v>
      </c>
      <c r="S11" s="137"/>
      <c r="T11" s="137">
        <v>0</v>
      </c>
      <c r="U11" s="137">
        <v>0</v>
      </c>
      <c r="V11" s="137">
        <v>0</v>
      </c>
      <c r="W11" s="137">
        <v>0</v>
      </c>
      <c r="X11" s="137"/>
      <c r="Y11" s="137">
        <v>3113807</v>
      </c>
      <c r="Z11" s="137">
        <v>4</v>
      </c>
      <c r="AA11" s="137">
        <v>13301479.439999994</v>
      </c>
      <c r="AB11" s="137"/>
      <c r="AC11" s="137"/>
      <c r="AD11" s="137">
        <v>13301479.439999994</v>
      </c>
      <c r="AE11" s="137">
        <v>11971331</v>
      </c>
      <c r="AF11" s="137">
        <v>10774198</v>
      </c>
      <c r="AG11" s="137"/>
      <c r="AH11" s="137">
        <v>0</v>
      </c>
      <c r="AI11" s="137">
        <v>25125016</v>
      </c>
      <c r="AJ11" s="137">
        <v>-11823536.560000006</v>
      </c>
      <c r="AK11" s="123">
        <v>25125016</v>
      </c>
      <c r="AL11" s="137">
        <f t="shared" si="0"/>
        <v>13301500</v>
      </c>
      <c r="AN11">
        <v>13301479.439999994</v>
      </c>
      <c r="AO11">
        <f t="shared" si="1"/>
        <v>13301000</v>
      </c>
      <c r="AP11">
        <f t="shared" si="2"/>
        <v>1.33</v>
      </c>
    </row>
    <row r="12" spans="1:42" x14ac:dyDescent="0.25">
      <c r="A12" s="28">
        <v>9</v>
      </c>
      <c r="B12" s="18" t="s">
        <v>42</v>
      </c>
      <c r="C12" s="137">
        <v>36301</v>
      </c>
      <c r="D12" s="137">
        <v>21829512</v>
      </c>
      <c r="E12" s="137">
        <v>9731484</v>
      </c>
      <c r="F12" s="137">
        <v>0</v>
      </c>
      <c r="G12" s="137"/>
      <c r="H12" s="137"/>
      <c r="I12" s="137">
        <v>0.06</v>
      </c>
      <c r="J12" s="137">
        <v>5</v>
      </c>
      <c r="K12" s="137"/>
      <c r="L12" s="137">
        <v>21829512</v>
      </c>
      <c r="M12" s="137">
        <v>256446.36</v>
      </c>
      <c r="N12" s="137">
        <v>0</v>
      </c>
      <c r="O12" s="137">
        <v>0</v>
      </c>
      <c r="P12" s="137"/>
      <c r="Q12" s="137"/>
      <c r="R12" s="137">
        <v>22085958.359999999</v>
      </c>
      <c r="S12" s="137"/>
      <c r="T12" s="137">
        <v>0</v>
      </c>
      <c r="U12" s="137">
        <v>0</v>
      </c>
      <c r="V12" s="137">
        <v>0</v>
      </c>
      <c r="W12" s="137">
        <v>0</v>
      </c>
      <c r="X12" s="137"/>
      <c r="Y12" s="137">
        <v>22085958.359999999</v>
      </c>
      <c r="Z12" s="137">
        <v>4</v>
      </c>
      <c r="AA12" s="137">
        <v>552148950</v>
      </c>
      <c r="AB12" s="137">
        <v>12675</v>
      </c>
      <c r="AC12" s="137">
        <v>12700</v>
      </c>
      <c r="AD12" s="137">
        <v>553224700</v>
      </c>
      <c r="AE12" s="137">
        <v>497902230</v>
      </c>
      <c r="AF12" s="137">
        <v>448112007</v>
      </c>
      <c r="AG12" s="137"/>
      <c r="AH12" s="137">
        <v>10250</v>
      </c>
      <c r="AI12" s="137">
        <v>446500250</v>
      </c>
      <c r="AJ12" s="137">
        <v>106724450</v>
      </c>
      <c r="AK12" s="135">
        <v>446500250</v>
      </c>
      <c r="AL12" s="137">
        <f t="shared" si="0"/>
        <v>552149000</v>
      </c>
      <c r="AN12">
        <v>401562872.72727275</v>
      </c>
      <c r="AO12">
        <f t="shared" si="1"/>
        <v>401563000</v>
      </c>
      <c r="AP12">
        <f t="shared" si="2"/>
        <v>40.159999999999997</v>
      </c>
    </row>
    <row r="13" spans="1:42" x14ac:dyDescent="0.25">
      <c r="A13" s="28">
        <v>10</v>
      </c>
      <c r="B13" s="18" t="s">
        <v>43</v>
      </c>
      <c r="C13" s="137">
        <v>35056</v>
      </c>
      <c r="D13" s="137">
        <v>20066680</v>
      </c>
      <c r="E13" s="137">
        <v>7899006</v>
      </c>
      <c r="F13" s="137">
        <v>0</v>
      </c>
      <c r="G13" s="137"/>
      <c r="H13" s="137"/>
      <c r="I13" s="137">
        <v>0.06</v>
      </c>
      <c r="J13" s="137">
        <v>5</v>
      </c>
      <c r="K13" s="137"/>
      <c r="L13" s="137">
        <v>20066680</v>
      </c>
      <c r="M13" s="137">
        <v>172940.16</v>
      </c>
      <c r="N13" s="137">
        <v>0</v>
      </c>
      <c r="O13" s="137">
        <v>0</v>
      </c>
      <c r="P13" s="137"/>
      <c r="Q13" s="137"/>
      <c r="R13" s="137">
        <v>20239620.16</v>
      </c>
      <c r="S13" s="137"/>
      <c r="T13" s="137">
        <v>0</v>
      </c>
      <c r="U13" s="137">
        <v>0</v>
      </c>
      <c r="V13" s="137">
        <v>0</v>
      </c>
      <c r="W13" s="137">
        <v>0</v>
      </c>
      <c r="X13" s="137"/>
      <c r="Y13" s="137">
        <v>20239620.16</v>
      </c>
      <c r="Z13" s="137">
        <v>4</v>
      </c>
      <c r="AA13" s="137">
        <v>505990500</v>
      </c>
      <c r="AB13" s="137">
        <v>12028</v>
      </c>
      <c r="AC13" s="137">
        <v>12000</v>
      </c>
      <c r="AD13" s="137">
        <v>504804000</v>
      </c>
      <c r="AE13" s="137">
        <v>454323600</v>
      </c>
      <c r="AF13" s="137">
        <v>408891240</v>
      </c>
      <c r="AG13" s="137"/>
      <c r="AH13" s="137">
        <v>10610</v>
      </c>
      <c r="AI13" s="137">
        <v>446330870</v>
      </c>
      <c r="AJ13" s="137">
        <v>58473130</v>
      </c>
      <c r="AK13" s="135">
        <v>446330870</v>
      </c>
      <c r="AL13" s="137">
        <f t="shared" si="0"/>
        <v>505990500</v>
      </c>
      <c r="AN13">
        <v>367993090.90909094</v>
      </c>
      <c r="AO13">
        <f t="shared" si="1"/>
        <v>367993000</v>
      </c>
      <c r="AP13">
        <f t="shared" si="2"/>
        <v>36.799999999999997</v>
      </c>
    </row>
    <row r="14" spans="1:42" ht="16.5" x14ac:dyDescent="0.3">
      <c r="A14" s="28">
        <v>11</v>
      </c>
      <c r="B14" s="18" t="s">
        <v>215</v>
      </c>
      <c r="C14" s="137">
        <v>59325</v>
      </c>
      <c r="D14" s="137">
        <v>50034886</v>
      </c>
      <c r="E14" s="137">
        <v>15620638</v>
      </c>
      <c r="F14" s="137">
        <v>0</v>
      </c>
      <c r="G14" s="137"/>
      <c r="H14" s="137"/>
      <c r="I14" s="137">
        <v>0.06</v>
      </c>
      <c r="J14" s="137">
        <v>5</v>
      </c>
      <c r="K14" s="137"/>
      <c r="L14" s="137">
        <v>64395048</v>
      </c>
      <c r="M14" s="137">
        <v>484227.77999999997</v>
      </c>
      <c r="N14" s="137">
        <v>0</v>
      </c>
      <c r="O14" s="137">
        <v>0</v>
      </c>
      <c r="P14" s="137"/>
      <c r="Q14" s="137"/>
      <c r="R14" s="137">
        <v>64879275.780000001</v>
      </c>
      <c r="S14" s="137"/>
      <c r="T14" s="137">
        <v>0</v>
      </c>
      <c r="U14" s="137">
        <v>0</v>
      </c>
      <c r="V14" s="137">
        <v>0</v>
      </c>
      <c r="W14" s="137">
        <v>0</v>
      </c>
      <c r="X14" s="137"/>
      <c r="Y14" s="137">
        <v>64879275.780000001</v>
      </c>
      <c r="Z14" s="137">
        <v>4</v>
      </c>
      <c r="AA14" s="137">
        <v>1255540025</v>
      </c>
      <c r="AB14" s="137">
        <v>17955</v>
      </c>
      <c r="AC14" s="137">
        <v>18000</v>
      </c>
      <c r="AD14" s="137">
        <v>1626012000</v>
      </c>
      <c r="AE14" s="137">
        <v>1463410800</v>
      </c>
      <c r="AF14" s="137">
        <v>1317069720</v>
      </c>
      <c r="AG14" s="137"/>
      <c r="AH14" s="137">
        <v>0</v>
      </c>
      <c r="AI14" s="137">
        <v>1162074760</v>
      </c>
      <c r="AJ14" s="137">
        <v>463937240</v>
      </c>
      <c r="AK14" s="138">
        <v>863148000</v>
      </c>
      <c r="AL14" s="137">
        <f t="shared" si="0"/>
        <v>1255540000</v>
      </c>
      <c r="AN14">
        <v>1004432020</v>
      </c>
      <c r="AO14">
        <f t="shared" si="1"/>
        <v>1004432000</v>
      </c>
      <c r="AP14">
        <f t="shared" si="2"/>
        <v>100.44</v>
      </c>
    </row>
    <row r="15" spans="1:42" x14ac:dyDescent="0.25">
      <c r="A15" s="28">
        <v>12</v>
      </c>
      <c r="B15" s="18" t="s">
        <v>216</v>
      </c>
      <c r="C15" s="137">
        <v>31009</v>
      </c>
      <c r="D15" s="137">
        <v>19684512</v>
      </c>
      <c r="E15" s="137">
        <v>9830875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>
        <v>499477425</v>
      </c>
      <c r="AB15" s="137"/>
      <c r="AC15" s="137"/>
      <c r="AD15" s="137"/>
      <c r="AE15" s="137"/>
      <c r="AF15" s="137"/>
      <c r="AG15" s="137"/>
      <c r="AH15" s="137"/>
      <c r="AI15" s="137"/>
      <c r="AJ15" s="137"/>
      <c r="AK15" s="135">
        <v>298926760</v>
      </c>
      <c r="AL15" s="137">
        <f t="shared" si="0"/>
        <v>499477500</v>
      </c>
      <c r="AN15">
        <v>363256309.09090906</v>
      </c>
      <c r="AO15">
        <f t="shared" si="1"/>
        <v>363256000</v>
      </c>
      <c r="AP15">
        <f t="shared" si="2"/>
        <v>36.33</v>
      </c>
    </row>
    <row r="16" spans="1:42" x14ac:dyDescent="0.25">
      <c r="A16" s="28">
        <v>12</v>
      </c>
      <c r="B16" s="18" t="s">
        <v>232</v>
      </c>
      <c r="C16" s="137">
        <v>16205</v>
      </c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>
        <v>259280000</v>
      </c>
      <c r="AB16" s="137"/>
      <c r="AC16" s="137"/>
      <c r="AD16" s="137"/>
      <c r="AE16" s="137"/>
      <c r="AF16" s="137"/>
      <c r="AG16" s="137"/>
      <c r="AH16" s="137"/>
      <c r="AI16" s="137"/>
      <c r="AJ16" s="137"/>
      <c r="AK16" s="135">
        <v>224350000</v>
      </c>
      <c r="AL16" s="137">
        <f t="shared" si="0"/>
        <v>259280000</v>
      </c>
      <c r="AM16" s="124" t="s">
        <v>120</v>
      </c>
      <c r="AN16">
        <v>259280000</v>
      </c>
      <c r="AO16">
        <f t="shared" si="1"/>
        <v>259280000</v>
      </c>
      <c r="AP16">
        <f t="shared" si="2"/>
        <v>25.93</v>
      </c>
    </row>
    <row r="17" spans="1:42" x14ac:dyDescent="0.25">
      <c r="A17" s="28"/>
      <c r="B17" s="18"/>
      <c r="C17" s="137"/>
      <c r="D17" s="137"/>
      <c r="E17" s="139" t="s">
        <v>119</v>
      </c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>
        <f>SUM(AA4:AA16)</f>
        <v>4864750225</v>
      </c>
      <c r="AB17" s="137"/>
      <c r="AC17" s="137"/>
      <c r="AD17" s="137"/>
      <c r="AE17" s="137"/>
      <c r="AF17" s="137"/>
      <c r="AG17" s="137"/>
      <c r="AH17" s="137"/>
      <c r="AI17" s="137">
        <v>3972191759</v>
      </c>
      <c r="AJ17" s="137">
        <v>498963241</v>
      </c>
      <c r="AK17" s="135">
        <f>SUM(AK4:AK16)</f>
        <v>4196541759</v>
      </c>
      <c r="AL17" s="137">
        <f>SUM(AL4:AL16)</f>
        <v>4864749500</v>
      </c>
      <c r="AM17" s="125">
        <f>AA17/10^7</f>
        <v>486.47502250000002</v>
      </c>
      <c r="AN17">
        <f>SUM(AN4:AN16)</f>
        <v>3715377583.636364</v>
      </c>
      <c r="AO17">
        <f>SUM(AO4:AO16)</f>
        <v>3715377000</v>
      </c>
      <c r="AP17">
        <f t="shared" si="2"/>
        <v>371.54</v>
      </c>
    </row>
    <row r="18" spans="1:42" hidden="1" x14ac:dyDescent="0.25">
      <c r="A18" s="28"/>
      <c r="B18" s="18"/>
      <c r="C18" s="137"/>
      <c r="D18" s="137"/>
      <c r="E18" s="139" t="s">
        <v>118</v>
      </c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>
        <v>4196541759</v>
      </c>
      <c r="AB18" s="137"/>
      <c r="AC18" s="137"/>
      <c r="AD18" s="137"/>
      <c r="AE18" s="137"/>
      <c r="AF18" s="137"/>
      <c r="AG18" s="137"/>
      <c r="AH18" s="137"/>
      <c r="AI18" s="137"/>
      <c r="AJ18" s="137"/>
      <c r="AK18" s="135"/>
      <c r="AL18" s="139">
        <v>4196541759</v>
      </c>
      <c r="AM18" s="125">
        <f>AA18/10^7</f>
        <v>419.65417589999998</v>
      </c>
      <c r="AP18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15" x14ac:dyDescent="0.25"/>
  <cols>
    <col min="1" max="1" width="21.5703125" bestFit="1" customWidth="1"/>
    <col min="2" max="2" width="15.7109375" bestFit="1" customWidth="1"/>
    <col min="3" max="6" width="12.140625" customWidth="1"/>
    <col min="7" max="8" width="11.140625" customWidth="1"/>
    <col min="9" max="9" width="12.140625" bestFit="1" customWidth="1"/>
    <col min="11" max="11" width="11" bestFit="1" customWidth="1"/>
    <col min="12" max="12" width="10.5703125" customWidth="1"/>
    <col min="13" max="13" width="11.28515625" customWidth="1"/>
    <col min="14" max="14" width="16.85546875" style="104" customWidth="1"/>
  </cols>
  <sheetData>
    <row r="1" spans="1:14" ht="105" x14ac:dyDescent="0.25">
      <c r="A1" s="90" t="s">
        <v>163</v>
      </c>
      <c r="B1" s="90" t="s">
        <v>169</v>
      </c>
      <c r="C1" s="90" t="s">
        <v>211</v>
      </c>
      <c r="D1" s="90" t="s">
        <v>212</v>
      </c>
      <c r="E1" s="90" t="s">
        <v>181</v>
      </c>
      <c r="F1" s="90" t="s">
        <v>174</v>
      </c>
      <c r="G1" s="90" t="s">
        <v>176</v>
      </c>
      <c r="H1" s="90" t="s">
        <v>177</v>
      </c>
      <c r="I1" s="90" t="s">
        <v>208</v>
      </c>
      <c r="J1" s="90" t="s">
        <v>165</v>
      </c>
      <c r="K1" s="90" t="s">
        <v>166</v>
      </c>
      <c r="L1" s="90" t="s">
        <v>167</v>
      </c>
      <c r="M1" s="90" t="s">
        <v>93</v>
      </c>
      <c r="N1" s="92"/>
    </row>
    <row r="2" spans="1:14" x14ac:dyDescent="0.25">
      <c r="A2" s="18" t="s">
        <v>164</v>
      </c>
      <c r="B2" s="18">
        <v>5738</v>
      </c>
      <c r="C2" s="18">
        <v>382</v>
      </c>
      <c r="D2" s="18"/>
      <c r="E2" s="18">
        <v>0</v>
      </c>
      <c r="F2" s="18">
        <v>0</v>
      </c>
      <c r="G2" s="18">
        <f>B2+C2+F2</f>
        <v>6120</v>
      </c>
      <c r="H2" s="18">
        <f>G2</f>
        <v>6120</v>
      </c>
      <c r="I2" s="18">
        <f>ROUND((H2*1.2),0)</f>
        <v>7344</v>
      </c>
      <c r="J2" s="18">
        <v>13370</v>
      </c>
      <c r="K2" s="18">
        <f t="shared" ref="K2:K10" si="0">I2*J2</f>
        <v>98189280</v>
      </c>
      <c r="L2" s="18">
        <v>6120</v>
      </c>
      <c r="M2" s="18"/>
      <c r="N2" s="92"/>
    </row>
    <row r="3" spans="1:14" x14ac:dyDescent="0.25">
      <c r="A3" s="18" t="s">
        <v>168</v>
      </c>
      <c r="B3" s="18">
        <v>26500</v>
      </c>
      <c r="C3" s="18">
        <v>0</v>
      </c>
      <c r="D3" s="18"/>
      <c r="E3" s="18">
        <v>0</v>
      </c>
      <c r="F3" s="18">
        <v>0</v>
      </c>
      <c r="G3" s="18">
        <f t="shared" ref="G3:G9" si="1">B3+C3+F3</f>
        <v>26500</v>
      </c>
      <c r="H3" s="18">
        <f t="shared" ref="H3:H6" si="2">G3</f>
        <v>26500</v>
      </c>
      <c r="I3" s="18">
        <f t="shared" ref="I3:I7" si="3">ROUND((H3*1.2),0)</f>
        <v>31800</v>
      </c>
      <c r="J3" s="18">
        <v>11460</v>
      </c>
      <c r="K3" s="18">
        <f t="shared" si="0"/>
        <v>364428000</v>
      </c>
      <c r="L3" s="18">
        <v>26500</v>
      </c>
      <c r="M3" s="18"/>
      <c r="N3" s="92"/>
    </row>
    <row r="4" spans="1:14" x14ac:dyDescent="0.25">
      <c r="A4" s="18" t="s">
        <v>170</v>
      </c>
      <c r="B4" s="18">
        <v>15162</v>
      </c>
      <c r="C4" s="18">
        <v>0</v>
      </c>
      <c r="D4" s="18"/>
      <c r="E4" s="18">
        <v>0</v>
      </c>
      <c r="F4" s="18">
        <v>0</v>
      </c>
      <c r="G4" s="18">
        <f t="shared" si="1"/>
        <v>15162</v>
      </c>
      <c r="H4" s="18">
        <f t="shared" si="2"/>
        <v>15162</v>
      </c>
      <c r="I4" s="18">
        <f t="shared" si="3"/>
        <v>18194</v>
      </c>
      <c r="J4" s="18">
        <v>17290</v>
      </c>
      <c r="K4" s="18">
        <f t="shared" si="0"/>
        <v>314574260</v>
      </c>
      <c r="L4" s="18">
        <v>15162</v>
      </c>
      <c r="M4" s="18"/>
      <c r="N4" s="92"/>
    </row>
    <row r="5" spans="1:14" x14ac:dyDescent="0.25">
      <c r="A5" s="18" t="s">
        <v>171</v>
      </c>
      <c r="B5" s="18">
        <v>4677</v>
      </c>
      <c r="C5" s="18">
        <v>0</v>
      </c>
      <c r="D5" s="18"/>
      <c r="E5" s="18">
        <v>0</v>
      </c>
      <c r="F5" s="18">
        <v>0</v>
      </c>
      <c r="G5" s="18">
        <f t="shared" si="1"/>
        <v>4677</v>
      </c>
      <c r="H5" s="18">
        <f t="shared" si="2"/>
        <v>4677</v>
      </c>
      <c r="I5" s="18">
        <f t="shared" si="3"/>
        <v>5612</v>
      </c>
      <c r="J5" s="18">
        <v>15330</v>
      </c>
      <c r="K5" s="18">
        <f t="shared" si="0"/>
        <v>86031960</v>
      </c>
      <c r="L5" s="18">
        <v>4677</v>
      </c>
      <c r="M5" s="18"/>
      <c r="N5" s="92"/>
    </row>
    <row r="6" spans="1:14" x14ac:dyDescent="0.25">
      <c r="A6" s="18" t="s">
        <v>172</v>
      </c>
      <c r="B6" s="18">
        <v>26541</v>
      </c>
      <c r="C6" s="18">
        <v>0</v>
      </c>
      <c r="D6" s="18"/>
      <c r="E6" s="18">
        <v>0</v>
      </c>
      <c r="F6" s="18">
        <v>0</v>
      </c>
      <c r="G6" s="18">
        <f t="shared" si="1"/>
        <v>26541</v>
      </c>
      <c r="H6" s="18">
        <f t="shared" si="2"/>
        <v>26541</v>
      </c>
      <c r="I6" s="18">
        <f t="shared" si="3"/>
        <v>31849</v>
      </c>
      <c r="J6" s="18">
        <v>9460</v>
      </c>
      <c r="K6" s="18">
        <f t="shared" si="0"/>
        <v>301291540</v>
      </c>
      <c r="L6" s="18">
        <v>26541</v>
      </c>
      <c r="M6" s="18"/>
      <c r="N6" s="92"/>
    </row>
    <row r="7" spans="1:14" x14ac:dyDescent="0.25">
      <c r="A7" s="18" t="s">
        <v>173</v>
      </c>
      <c r="B7" s="18">
        <v>13322</v>
      </c>
      <c r="C7" s="18">
        <v>1479</v>
      </c>
      <c r="D7" s="18"/>
      <c r="E7" s="18">
        <v>0</v>
      </c>
      <c r="F7" s="98">
        <v>14794</v>
      </c>
      <c r="G7" s="18">
        <f t="shared" si="1"/>
        <v>29595</v>
      </c>
      <c r="H7" s="98">
        <f>B7+F7</f>
        <v>28116</v>
      </c>
      <c r="I7" s="18">
        <f t="shared" si="3"/>
        <v>33739</v>
      </c>
      <c r="J7" s="18">
        <v>19160</v>
      </c>
      <c r="K7" s="18">
        <f t="shared" si="0"/>
        <v>646439240</v>
      </c>
      <c r="L7" s="98">
        <f>B7+C7</f>
        <v>14801</v>
      </c>
      <c r="M7" s="18" t="s">
        <v>175</v>
      </c>
      <c r="N7" s="92"/>
    </row>
    <row r="8" spans="1:14" x14ac:dyDescent="0.25">
      <c r="A8" s="18" t="s">
        <v>178</v>
      </c>
      <c r="B8" s="18">
        <v>29200</v>
      </c>
      <c r="C8" s="18">
        <v>7101</v>
      </c>
      <c r="D8" s="18"/>
      <c r="E8" s="18">
        <v>0</v>
      </c>
      <c r="F8" s="18">
        <v>0</v>
      </c>
      <c r="G8" s="18">
        <f t="shared" si="1"/>
        <v>36301</v>
      </c>
      <c r="H8" s="18">
        <f>G8</f>
        <v>36301</v>
      </c>
      <c r="I8" s="18">
        <f t="shared" ref="I8:I9" si="4">ROUND((G8*1.2),0)</f>
        <v>43561</v>
      </c>
      <c r="J8" s="18">
        <v>10250</v>
      </c>
      <c r="K8" s="18">
        <f t="shared" si="0"/>
        <v>446500250</v>
      </c>
      <c r="L8" s="18">
        <v>36301</v>
      </c>
      <c r="M8" s="18"/>
      <c r="N8" s="92"/>
    </row>
    <row r="9" spans="1:14" x14ac:dyDescent="0.25">
      <c r="A9" s="18" t="s">
        <v>179</v>
      </c>
      <c r="B9" s="18">
        <v>25102</v>
      </c>
      <c r="C9" s="18">
        <v>9954</v>
      </c>
      <c r="D9" s="18"/>
      <c r="E9" s="18">
        <v>0</v>
      </c>
      <c r="F9" s="18">
        <v>0</v>
      </c>
      <c r="G9" s="18">
        <f t="shared" si="1"/>
        <v>35056</v>
      </c>
      <c r="H9" s="18">
        <f>G9</f>
        <v>35056</v>
      </c>
      <c r="I9" s="18">
        <f t="shared" si="4"/>
        <v>42067</v>
      </c>
      <c r="J9" s="18">
        <v>10610</v>
      </c>
      <c r="K9" s="18">
        <f t="shared" si="0"/>
        <v>446330870</v>
      </c>
      <c r="L9" s="18">
        <v>35056</v>
      </c>
      <c r="M9" s="18"/>
      <c r="N9" s="92"/>
    </row>
    <row r="10" spans="1:14" ht="75" x14ac:dyDescent="0.25">
      <c r="A10" s="93" t="s">
        <v>180</v>
      </c>
      <c r="B10" s="18">
        <v>31009</v>
      </c>
      <c r="C10" s="18"/>
      <c r="D10" s="18"/>
      <c r="E10" s="18">
        <v>24807</v>
      </c>
      <c r="F10" s="18">
        <v>31009</v>
      </c>
      <c r="G10" s="18">
        <v>24807</v>
      </c>
      <c r="H10" s="18">
        <v>24807</v>
      </c>
      <c r="I10" s="92">
        <v>31009</v>
      </c>
      <c r="J10" s="18">
        <v>9640</v>
      </c>
      <c r="K10" s="18">
        <f t="shared" si="0"/>
        <v>298926760</v>
      </c>
      <c r="L10" s="18">
        <v>31009</v>
      </c>
      <c r="M10" s="92" t="s">
        <v>209</v>
      </c>
      <c r="N10" s="92"/>
    </row>
    <row r="11" spans="1:14" ht="30" x14ac:dyDescent="0.25">
      <c r="A11" s="92" t="s">
        <v>182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92"/>
    </row>
    <row r="12" spans="1:14" ht="16.5" x14ac:dyDescent="0.3">
      <c r="A12" s="94" t="s">
        <v>135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92"/>
    </row>
    <row r="13" spans="1:14" ht="16.5" x14ac:dyDescent="0.3">
      <c r="A13" s="94" t="s">
        <v>136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92"/>
    </row>
    <row r="14" spans="1:14" ht="16.5" x14ac:dyDescent="0.3">
      <c r="A14" s="95" t="s">
        <v>137</v>
      </c>
      <c r="B14" s="18"/>
      <c r="C14" s="18"/>
      <c r="D14" s="18"/>
      <c r="E14" s="96">
        <v>2500</v>
      </c>
      <c r="F14" s="99">
        <v>2500</v>
      </c>
      <c r="G14" s="18"/>
      <c r="H14" s="18"/>
      <c r="I14" s="99">
        <v>4000</v>
      </c>
      <c r="J14" s="18"/>
      <c r="K14" s="18"/>
      <c r="L14" s="18"/>
      <c r="M14" s="18"/>
      <c r="N14" s="102" t="s">
        <v>184</v>
      </c>
    </row>
    <row r="15" spans="1:14" ht="16.5" x14ac:dyDescent="0.3">
      <c r="A15" s="95" t="s">
        <v>138</v>
      </c>
      <c r="B15" s="18"/>
      <c r="C15" s="18"/>
      <c r="D15" s="18"/>
      <c r="E15" s="96">
        <v>830</v>
      </c>
      <c r="F15" s="96">
        <v>1387</v>
      </c>
      <c r="G15" s="18"/>
      <c r="H15" s="18"/>
      <c r="I15" s="96">
        <v>1387</v>
      </c>
      <c r="J15" s="18"/>
      <c r="K15" s="18"/>
      <c r="L15" s="18"/>
      <c r="M15" s="18"/>
      <c r="N15" s="102" t="s">
        <v>185</v>
      </c>
    </row>
    <row r="16" spans="1:14" ht="16.5" x14ac:dyDescent="0.3">
      <c r="A16" s="95" t="s">
        <v>139</v>
      </c>
      <c r="B16" s="18"/>
      <c r="C16" s="18"/>
      <c r="D16" s="18"/>
      <c r="E16" s="96">
        <v>1400</v>
      </c>
      <c r="F16" s="96">
        <v>1680</v>
      </c>
      <c r="G16" s="18"/>
      <c r="H16" s="18"/>
      <c r="I16" s="96">
        <v>1680</v>
      </c>
      <c r="J16" s="18"/>
      <c r="K16" s="18"/>
      <c r="L16" s="18"/>
      <c r="M16" s="18"/>
      <c r="N16" s="102" t="s">
        <v>186</v>
      </c>
    </row>
    <row r="17" spans="1:14" ht="16.5" x14ac:dyDescent="0.3">
      <c r="A17" s="95" t="s">
        <v>140</v>
      </c>
      <c r="B17" s="18"/>
      <c r="C17" s="18"/>
      <c r="D17" s="18"/>
      <c r="E17" s="96">
        <v>3108</v>
      </c>
      <c r="F17" s="96">
        <v>4040</v>
      </c>
      <c r="G17" s="18"/>
      <c r="H17" s="18"/>
      <c r="I17" s="96">
        <v>4040</v>
      </c>
      <c r="J17" s="18"/>
      <c r="K17" s="18"/>
      <c r="L17" s="18"/>
      <c r="M17" s="18"/>
      <c r="N17" s="102" t="s">
        <v>187</v>
      </c>
    </row>
    <row r="18" spans="1:14" ht="16.5" x14ac:dyDescent="0.3">
      <c r="A18" s="95" t="s">
        <v>141</v>
      </c>
      <c r="B18" s="18"/>
      <c r="C18" s="18"/>
      <c r="D18" s="18"/>
      <c r="E18" s="96">
        <v>440</v>
      </c>
      <c r="F18" s="96">
        <v>735</v>
      </c>
      <c r="G18" s="18"/>
      <c r="H18" s="18"/>
      <c r="I18" s="96">
        <v>735</v>
      </c>
      <c r="J18" s="18"/>
      <c r="K18" s="18"/>
      <c r="L18" s="18"/>
      <c r="M18" s="18"/>
      <c r="N18" s="102" t="s">
        <v>188</v>
      </c>
    </row>
    <row r="19" spans="1:14" ht="16.5" x14ac:dyDescent="0.3">
      <c r="A19" s="95" t="s">
        <v>142</v>
      </c>
      <c r="B19" s="18"/>
      <c r="C19" s="18"/>
      <c r="D19" s="18"/>
      <c r="E19" s="96">
        <v>609</v>
      </c>
      <c r="F19" s="96">
        <v>1050</v>
      </c>
      <c r="G19" s="18"/>
      <c r="H19" s="18"/>
      <c r="I19" s="96">
        <v>1050</v>
      </c>
      <c r="J19" s="18"/>
      <c r="K19" s="18"/>
      <c r="L19" s="18"/>
      <c r="M19" s="18"/>
      <c r="N19" s="102" t="s">
        <v>189</v>
      </c>
    </row>
    <row r="20" spans="1:14" ht="16.5" x14ac:dyDescent="0.3">
      <c r="A20" s="95" t="s">
        <v>143</v>
      </c>
      <c r="B20" s="18"/>
      <c r="C20" s="18"/>
      <c r="D20" s="18"/>
      <c r="E20" s="96">
        <v>296</v>
      </c>
      <c r="F20" s="96">
        <v>495</v>
      </c>
      <c r="G20" s="18"/>
      <c r="H20" s="18"/>
      <c r="I20" s="96">
        <v>495</v>
      </c>
      <c r="J20" s="18"/>
      <c r="K20" s="18"/>
      <c r="L20" s="18"/>
      <c r="M20" s="18"/>
      <c r="N20" s="102" t="s">
        <v>190</v>
      </c>
    </row>
    <row r="21" spans="1:14" ht="16.5" x14ac:dyDescent="0.3">
      <c r="A21" s="95" t="s">
        <v>144</v>
      </c>
      <c r="B21" s="18"/>
      <c r="C21" s="18"/>
      <c r="D21" s="18"/>
      <c r="E21" s="96">
        <v>3677</v>
      </c>
      <c r="F21" s="96">
        <v>4546</v>
      </c>
      <c r="G21" s="18"/>
      <c r="H21" s="18"/>
      <c r="I21" s="96">
        <v>4546</v>
      </c>
      <c r="J21" s="18"/>
      <c r="K21" s="18"/>
      <c r="L21" s="18"/>
      <c r="M21" s="18"/>
      <c r="N21" s="102" t="s">
        <v>191</v>
      </c>
    </row>
    <row r="22" spans="1:14" ht="75.75" x14ac:dyDescent="0.3">
      <c r="A22" s="94" t="s">
        <v>105</v>
      </c>
      <c r="B22" s="18"/>
      <c r="C22" s="18"/>
      <c r="D22" s="18"/>
      <c r="E22" s="97">
        <v>12860</v>
      </c>
      <c r="F22" s="100">
        <f>SUM(F14:F21)</f>
        <v>16433</v>
      </c>
      <c r="G22" s="18"/>
      <c r="H22" s="18"/>
      <c r="I22" s="100">
        <v>17933</v>
      </c>
      <c r="J22" s="18">
        <v>17640</v>
      </c>
      <c r="K22" s="18">
        <f>I22*J22</f>
        <v>316338120</v>
      </c>
      <c r="L22" s="18"/>
      <c r="M22" s="92" t="s">
        <v>209</v>
      </c>
      <c r="N22" s="103"/>
    </row>
    <row r="23" spans="1:14" ht="16.5" x14ac:dyDescent="0.3">
      <c r="A23" s="94" t="s">
        <v>145</v>
      </c>
      <c r="B23" s="18"/>
      <c r="C23" s="18"/>
      <c r="D23" s="18"/>
      <c r="E23" s="95"/>
      <c r="F23" s="95"/>
      <c r="G23" s="18"/>
      <c r="H23" s="18"/>
      <c r="I23" s="95"/>
      <c r="J23" s="18"/>
      <c r="K23" s="18"/>
      <c r="L23" s="18"/>
      <c r="M23" s="18"/>
      <c r="N23" s="102"/>
    </row>
    <row r="24" spans="1:14" ht="16.5" x14ac:dyDescent="0.3">
      <c r="A24" s="95" t="s">
        <v>146</v>
      </c>
      <c r="B24" s="18"/>
      <c r="C24" s="18"/>
      <c r="D24" s="18"/>
      <c r="E24" s="96">
        <v>3677</v>
      </c>
      <c r="F24" s="96">
        <v>4547</v>
      </c>
      <c r="G24" s="18"/>
      <c r="H24" s="18"/>
      <c r="I24" s="96">
        <v>4547</v>
      </c>
      <c r="J24" s="18"/>
      <c r="K24" s="18"/>
      <c r="L24" s="18"/>
      <c r="M24" s="18"/>
      <c r="N24" s="102" t="s">
        <v>192</v>
      </c>
    </row>
    <row r="25" spans="1:14" ht="49.5" x14ac:dyDescent="0.3">
      <c r="A25" s="95" t="s">
        <v>147</v>
      </c>
      <c r="B25" s="18"/>
      <c r="C25" s="18"/>
      <c r="D25" s="18"/>
      <c r="E25" s="96">
        <v>1493</v>
      </c>
      <c r="F25" s="96">
        <v>2490</v>
      </c>
      <c r="G25" s="18"/>
      <c r="H25" s="18"/>
      <c r="I25" s="96">
        <v>2490</v>
      </c>
      <c r="J25" s="18"/>
      <c r="K25" s="18"/>
      <c r="L25" s="18"/>
      <c r="M25" s="18"/>
      <c r="N25" s="102" t="s">
        <v>193</v>
      </c>
    </row>
    <row r="26" spans="1:14" ht="33" x14ac:dyDescent="0.3">
      <c r="A26" s="95" t="s">
        <v>148</v>
      </c>
      <c r="B26" s="18"/>
      <c r="C26" s="18"/>
      <c r="D26" s="18"/>
      <c r="E26" s="96">
        <v>1109</v>
      </c>
      <c r="F26" s="96">
        <v>1850</v>
      </c>
      <c r="G26" s="18"/>
      <c r="H26" s="18"/>
      <c r="I26" s="96">
        <v>1850</v>
      </c>
      <c r="J26" s="18"/>
      <c r="K26" s="18"/>
      <c r="L26" s="18"/>
      <c r="M26" s="18"/>
      <c r="N26" s="102" t="s">
        <v>194</v>
      </c>
    </row>
    <row r="27" spans="1:14" ht="16.5" x14ac:dyDescent="0.3">
      <c r="A27" s="95" t="s">
        <v>149</v>
      </c>
      <c r="B27" s="18"/>
      <c r="C27" s="18"/>
      <c r="D27" s="18"/>
      <c r="E27" s="96">
        <v>1100</v>
      </c>
      <c r="F27" s="96">
        <v>1837</v>
      </c>
      <c r="G27" s="18"/>
      <c r="H27" s="18"/>
      <c r="I27" s="96">
        <v>1837</v>
      </c>
      <c r="J27" s="18"/>
      <c r="K27" s="18"/>
      <c r="L27" s="18"/>
      <c r="M27" s="18"/>
      <c r="N27" s="102" t="s">
        <v>195</v>
      </c>
    </row>
    <row r="28" spans="1:14" ht="16.5" x14ac:dyDescent="0.3">
      <c r="A28" s="95" t="s">
        <v>150</v>
      </c>
      <c r="B28" s="18"/>
      <c r="C28" s="18"/>
      <c r="D28" s="18"/>
      <c r="E28" s="96">
        <v>460</v>
      </c>
      <c r="F28" s="96">
        <v>768</v>
      </c>
      <c r="G28" s="18"/>
      <c r="H28" s="18"/>
      <c r="I28" s="96">
        <v>768</v>
      </c>
      <c r="J28" s="18"/>
      <c r="K28" s="18"/>
      <c r="L28" s="18"/>
      <c r="M28" s="18"/>
      <c r="N28" s="102" t="s">
        <v>196</v>
      </c>
    </row>
    <row r="29" spans="1:14" ht="33" x14ac:dyDescent="0.3">
      <c r="A29" s="95" t="s">
        <v>151</v>
      </c>
      <c r="B29" s="18"/>
      <c r="C29" s="18"/>
      <c r="D29" s="18"/>
      <c r="E29" s="96">
        <v>4988</v>
      </c>
      <c r="F29" s="99">
        <v>4988</v>
      </c>
      <c r="G29" s="18"/>
      <c r="H29" s="18"/>
      <c r="I29" s="99">
        <v>7981</v>
      </c>
      <c r="J29" s="18"/>
      <c r="K29" s="18"/>
      <c r="L29" s="18"/>
      <c r="M29" s="18"/>
      <c r="N29" s="102" t="s">
        <v>197</v>
      </c>
    </row>
    <row r="30" spans="1:14" ht="16.5" x14ac:dyDescent="0.3">
      <c r="A30" s="95" t="s">
        <v>152</v>
      </c>
      <c r="B30" s="18"/>
      <c r="C30" s="18"/>
      <c r="D30" s="18"/>
      <c r="E30" s="96">
        <v>430</v>
      </c>
      <c r="F30" s="96">
        <v>720</v>
      </c>
      <c r="G30" s="18"/>
      <c r="H30" s="18"/>
      <c r="I30" s="96">
        <v>720</v>
      </c>
      <c r="J30" s="18"/>
      <c r="K30" s="18"/>
      <c r="L30" s="18"/>
      <c r="M30" s="18"/>
      <c r="N30" s="102" t="s">
        <v>198</v>
      </c>
    </row>
    <row r="31" spans="1:14" ht="16.5" x14ac:dyDescent="0.3">
      <c r="A31" s="95" t="s">
        <v>153</v>
      </c>
      <c r="B31" s="18"/>
      <c r="C31" s="18"/>
      <c r="D31" s="18"/>
      <c r="E31" s="96">
        <v>587</v>
      </c>
      <c r="F31" s="96">
        <v>980</v>
      </c>
      <c r="G31" s="18"/>
      <c r="H31" s="18"/>
      <c r="I31" s="96">
        <v>980</v>
      </c>
      <c r="J31" s="18"/>
      <c r="K31" s="18"/>
      <c r="L31" s="18"/>
      <c r="M31" s="18"/>
      <c r="N31" s="102" t="s">
        <v>199</v>
      </c>
    </row>
    <row r="32" spans="1:14" ht="16.5" x14ac:dyDescent="0.3">
      <c r="A32" s="95" t="s">
        <v>154</v>
      </c>
      <c r="B32" s="18"/>
      <c r="C32" s="18"/>
      <c r="D32" s="18"/>
      <c r="E32" s="96">
        <v>296</v>
      </c>
      <c r="F32" s="96">
        <v>496</v>
      </c>
      <c r="G32" s="18"/>
      <c r="H32" s="18"/>
      <c r="I32" s="96">
        <v>496</v>
      </c>
      <c r="J32" s="18"/>
      <c r="K32" s="18"/>
      <c r="L32" s="18"/>
      <c r="M32" s="18"/>
      <c r="N32" s="102" t="s">
        <v>200</v>
      </c>
    </row>
    <row r="33" spans="1:14" ht="75.75" x14ac:dyDescent="0.3">
      <c r="A33" s="94" t="s">
        <v>155</v>
      </c>
      <c r="B33" s="18"/>
      <c r="C33" s="18"/>
      <c r="D33" s="18"/>
      <c r="E33" s="97">
        <v>14140</v>
      </c>
      <c r="F33" s="100">
        <f>SUM(F24:F32)</f>
        <v>18676</v>
      </c>
      <c r="G33" s="18"/>
      <c r="H33" s="18"/>
      <c r="I33" s="100">
        <v>21669</v>
      </c>
      <c r="J33" s="18">
        <v>14640</v>
      </c>
      <c r="K33" s="18">
        <f>I33*J33</f>
        <v>317234160</v>
      </c>
      <c r="L33" s="18"/>
      <c r="M33" s="92" t="s">
        <v>209</v>
      </c>
      <c r="N33" s="103"/>
    </row>
    <row r="34" spans="1:14" ht="16.5" x14ac:dyDescent="0.3">
      <c r="A34" s="94" t="s">
        <v>156</v>
      </c>
      <c r="B34" s="18"/>
      <c r="C34" s="18"/>
      <c r="D34" s="18"/>
      <c r="E34" s="94"/>
      <c r="F34" s="95"/>
      <c r="G34" s="18"/>
      <c r="H34" s="18"/>
      <c r="I34" s="95"/>
      <c r="J34" s="18"/>
      <c r="K34" s="18"/>
      <c r="L34" s="18"/>
      <c r="M34" s="18"/>
      <c r="N34" s="102"/>
    </row>
    <row r="35" spans="1:14" ht="16.5" x14ac:dyDescent="0.3">
      <c r="A35" s="95" t="s">
        <v>157</v>
      </c>
      <c r="B35" s="18"/>
      <c r="C35" s="18"/>
      <c r="D35" s="18"/>
      <c r="E35" s="96">
        <v>1493</v>
      </c>
      <c r="F35" s="96">
        <v>1866</v>
      </c>
      <c r="G35" s="18"/>
      <c r="H35" s="18"/>
      <c r="I35" s="96">
        <v>1866</v>
      </c>
      <c r="J35" s="18"/>
      <c r="K35" s="18"/>
      <c r="L35" s="18"/>
      <c r="M35" s="18"/>
      <c r="N35" s="102" t="s">
        <v>201</v>
      </c>
    </row>
    <row r="36" spans="1:14" ht="16.5" x14ac:dyDescent="0.3">
      <c r="A36" s="95" t="s">
        <v>158</v>
      </c>
      <c r="B36" s="18"/>
      <c r="C36" s="18"/>
      <c r="D36" s="18"/>
      <c r="E36" s="96">
        <v>2024</v>
      </c>
      <c r="F36" s="96">
        <v>2530</v>
      </c>
      <c r="G36" s="18"/>
      <c r="H36" s="18"/>
      <c r="I36" s="96">
        <v>2530</v>
      </c>
      <c r="J36" s="18"/>
      <c r="K36" s="18"/>
      <c r="L36" s="18"/>
      <c r="M36" s="18"/>
      <c r="N36" s="95" t="s">
        <v>202</v>
      </c>
    </row>
    <row r="37" spans="1:14" ht="16.5" x14ac:dyDescent="0.3">
      <c r="A37" s="95" t="s">
        <v>159</v>
      </c>
      <c r="B37" s="18"/>
      <c r="C37" s="18"/>
      <c r="D37" s="18"/>
      <c r="E37" s="96">
        <v>708</v>
      </c>
      <c r="F37" s="96">
        <v>1182</v>
      </c>
      <c r="G37" s="18"/>
      <c r="H37" s="18"/>
      <c r="I37" s="96">
        <v>1182</v>
      </c>
      <c r="J37" s="18"/>
      <c r="K37" s="18"/>
      <c r="L37" s="18"/>
      <c r="M37" s="18"/>
      <c r="N37" s="102" t="s">
        <v>203</v>
      </c>
    </row>
    <row r="38" spans="1:14" ht="16.5" x14ac:dyDescent="0.3">
      <c r="A38" s="95" t="s">
        <v>160</v>
      </c>
      <c r="B38" s="18"/>
      <c r="C38" s="18"/>
      <c r="D38" s="18"/>
      <c r="E38" s="96">
        <v>660</v>
      </c>
      <c r="F38" s="96">
        <v>1103</v>
      </c>
      <c r="G38" s="18"/>
      <c r="H38" s="18"/>
      <c r="I38" s="96">
        <v>1103</v>
      </c>
      <c r="J38" s="18"/>
      <c r="K38" s="18"/>
      <c r="L38" s="18"/>
      <c r="M38" s="18"/>
      <c r="N38" s="102" t="s">
        <v>204</v>
      </c>
    </row>
    <row r="39" spans="1:14" ht="16.5" x14ac:dyDescent="0.3">
      <c r="A39" s="95" t="s">
        <v>161</v>
      </c>
      <c r="B39" s="18"/>
      <c r="C39" s="18"/>
      <c r="D39" s="18"/>
      <c r="E39" s="96">
        <v>540</v>
      </c>
      <c r="F39" s="96">
        <v>901</v>
      </c>
      <c r="G39" s="18"/>
      <c r="H39" s="18"/>
      <c r="I39" s="96">
        <v>901</v>
      </c>
      <c r="J39" s="18"/>
      <c r="K39" s="18"/>
      <c r="L39" s="18"/>
      <c r="M39" s="18"/>
      <c r="N39" s="102" t="s">
        <v>205</v>
      </c>
    </row>
    <row r="40" spans="1:14" ht="16.5" x14ac:dyDescent="0.3">
      <c r="A40" s="95" t="s">
        <v>162</v>
      </c>
      <c r="B40" s="18"/>
      <c r="C40" s="18"/>
      <c r="D40" s="18"/>
      <c r="E40" s="96">
        <v>3798</v>
      </c>
      <c r="F40" s="99">
        <v>3798</v>
      </c>
      <c r="G40" s="18"/>
      <c r="H40" s="18"/>
      <c r="I40" s="99">
        <v>6077</v>
      </c>
      <c r="J40" s="18"/>
      <c r="K40" s="18"/>
      <c r="L40" s="18"/>
      <c r="M40" s="18"/>
      <c r="N40" s="102" t="s">
        <v>206</v>
      </c>
    </row>
    <row r="41" spans="1:14" ht="16.5" x14ac:dyDescent="0.3">
      <c r="A41" s="95"/>
      <c r="B41" s="18"/>
      <c r="C41" s="18"/>
      <c r="D41" s="18"/>
      <c r="E41" s="96">
        <v>4851</v>
      </c>
      <c r="F41" s="101">
        <v>6064</v>
      </c>
      <c r="G41" s="18"/>
      <c r="H41" s="18"/>
      <c r="I41" s="96">
        <v>6064</v>
      </c>
      <c r="J41" s="18"/>
      <c r="K41" s="18"/>
      <c r="L41" s="18"/>
      <c r="M41" s="18"/>
      <c r="N41" s="102" t="s">
        <v>207</v>
      </c>
    </row>
    <row r="42" spans="1:14" ht="75.75" x14ac:dyDescent="0.3">
      <c r="A42" s="95" t="s">
        <v>183</v>
      </c>
      <c r="B42" s="18"/>
      <c r="C42" s="18"/>
      <c r="D42" s="18"/>
      <c r="E42" s="97">
        <v>14074</v>
      </c>
      <c r="F42" s="97">
        <f>SUM(F35:F41)</f>
        <v>17444</v>
      </c>
      <c r="G42" s="95"/>
      <c r="H42" s="18"/>
      <c r="I42" s="97">
        <v>19723</v>
      </c>
      <c r="J42" s="18">
        <v>11640</v>
      </c>
      <c r="K42" s="18">
        <f>I42*J42</f>
        <v>229575720</v>
      </c>
      <c r="L42" s="18"/>
      <c r="M42" s="92" t="s">
        <v>209</v>
      </c>
      <c r="N42" s="92"/>
    </row>
    <row r="43" spans="1:14" ht="105.75" x14ac:dyDescent="0.3">
      <c r="A43" s="95" t="s">
        <v>210</v>
      </c>
      <c r="B43" s="18">
        <v>16205</v>
      </c>
      <c r="C43" s="96"/>
      <c r="D43" s="96">
        <v>10805</v>
      </c>
      <c r="E43" s="18"/>
      <c r="F43" s="18"/>
      <c r="G43" s="18">
        <v>10805</v>
      </c>
      <c r="H43" s="18">
        <v>10805</v>
      </c>
      <c r="I43" s="96">
        <v>16205</v>
      </c>
      <c r="J43" s="18">
        <v>14000</v>
      </c>
      <c r="K43" s="91">
        <v>224350000</v>
      </c>
      <c r="L43" s="18"/>
      <c r="M43" s="105" t="s">
        <v>213</v>
      </c>
      <c r="N43" s="92"/>
    </row>
    <row r="44" spans="1:14" x14ac:dyDescent="0.25">
      <c r="K44">
        <f>SUM(K2:K43)</f>
        <v>4090210160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M6"/>
  <sheetViews>
    <sheetView workbookViewId="0">
      <selection activeCell="E8" sqref="E8"/>
    </sheetView>
  </sheetViews>
  <sheetFormatPr defaultRowHeight="15" x14ac:dyDescent="0.25"/>
  <cols>
    <col min="1" max="1" width="12" bestFit="1" customWidth="1"/>
  </cols>
  <sheetData>
    <row r="6" spans="1:13" x14ac:dyDescent="0.25">
      <c r="A6">
        <v>100346963.63636364</v>
      </c>
      <c r="B6">
        <v>285421890.90909094</v>
      </c>
      <c r="C6">
        <v>222833872.72727272</v>
      </c>
      <c r="D6">
        <v>71549545.454545453</v>
      </c>
      <c r="E6">
        <v>272060454.54545456</v>
      </c>
      <c r="F6">
        <v>310347363.63636363</v>
      </c>
      <c r="G6">
        <v>42991720.559999987</v>
      </c>
      <c r="H6">
        <v>13301479.439999994</v>
      </c>
      <c r="I6">
        <v>401562872.72727275</v>
      </c>
      <c r="J6">
        <v>367993090.90909094</v>
      </c>
      <c r="K6">
        <v>1004432020</v>
      </c>
      <c r="L6">
        <v>363256309.09090906</v>
      </c>
      <c r="M6">
        <v>259280000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Data</vt:lpstr>
      <vt:lpstr>Working Sheet</vt:lpstr>
      <vt:lpstr>Nagpur Mall</vt:lpstr>
      <vt:lpstr>Sheet2</vt:lpstr>
      <vt:lpstr>new Working sheet</vt:lpstr>
      <vt:lpstr>Summary</vt:lpstr>
      <vt:lpstr>Sheet5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Umang</dc:creator>
  <cp:lastModifiedBy>114-PC</cp:lastModifiedBy>
  <cp:lastPrinted>2018-07-27T07:36:26Z</cp:lastPrinted>
  <dcterms:created xsi:type="dcterms:W3CDTF">2016-07-02T09:59:08Z</dcterms:created>
  <dcterms:modified xsi:type="dcterms:W3CDTF">2023-10-20T11:31:35Z</dcterms:modified>
</cp:coreProperties>
</file>