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Champion Rolling Pvt Ltd\"/>
    </mc:Choice>
  </mc:AlternateContent>
  <xr:revisionPtr revIDLastSave="0" documentId="13_ncr:1_{78DCF21B-C1D2-4DA2-917A-005003AC8045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Area calculation" sheetId="2" r:id="rId2"/>
  </sheets>
  <calcPr calcId="191029"/>
</workbook>
</file>

<file path=xl/calcChain.xml><?xml version="1.0" encoding="utf-8"?>
<calcChain xmlns="http://schemas.openxmlformats.org/spreadsheetml/2006/main">
  <c r="M26" i="1" l="1"/>
  <c r="M21" i="1"/>
  <c r="L21" i="1"/>
  <c r="C25" i="1" l="1"/>
  <c r="C24" i="1"/>
  <c r="C23" i="1"/>
  <c r="C22" i="1"/>
  <c r="C21" i="1"/>
  <c r="B10" i="1" l="1"/>
  <c r="C10" i="1" l="1"/>
  <c r="C29" i="1" l="1"/>
  <c r="D29" i="1" s="1"/>
  <c r="M30" i="2"/>
  <c r="O41" i="2" l="1"/>
  <c r="N41" i="2"/>
  <c r="M41" i="2"/>
  <c r="N39" i="2"/>
  <c r="N38" i="2"/>
  <c r="N37" i="2"/>
  <c r="N36" i="2"/>
  <c r="N35" i="2"/>
  <c r="O25" i="2"/>
  <c r="O24" i="2"/>
  <c r="O23" i="2"/>
  <c r="O22" i="2"/>
  <c r="O21" i="2"/>
  <c r="N16" i="2"/>
  <c r="N15" i="2"/>
  <c r="N13" i="2"/>
  <c r="N12" i="2"/>
  <c r="N20" i="2"/>
  <c r="M29" i="2"/>
  <c r="C19" i="2"/>
  <c r="C14" i="2"/>
  <c r="C13" i="2"/>
  <c r="I38" i="2" l="1"/>
  <c r="I32" i="2"/>
  <c r="I16" i="2"/>
  <c r="I30" i="2"/>
  <c r="I29" i="2"/>
  <c r="I25" i="2"/>
  <c r="I24" i="2"/>
  <c r="I23" i="2"/>
  <c r="I22" i="2"/>
  <c r="I21" i="2"/>
  <c r="I20" i="2"/>
  <c r="I39" i="2"/>
  <c r="I15" i="2"/>
  <c r="I13" i="2"/>
  <c r="I12" i="2"/>
  <c r="G11" i="2"/>
  <c r="I11" i="2" s="1"/>
  <c r="I37" i="2"/>
  <c r="I36" i="2"/>
  <c r="I35" i="2"/>
  <c r="C20" i="2"/>
  <c r="C8" i="2"/>
  <c r="G35" i="1"/>
  <c r="N11" i="2" l="1"/>
  <c r="M11" i="2"/>
  <c r="M41" i="1" l="1"/>
  <c r="M40" i="1"/>
  <c r="M39" i="1"/>
  <c r="M38" i="1"/>
  <c r="M37" i="1"/>
  <c r="M36" i="1"/>
  <c r="M35" i="1"/>
  <c r="M34" i="1"/>
  <c r="M33" i="1"/>
  <c r="M32" i="1"/>
  <c r="M31" i="1"/>
  <c r="M42" i="1" l="1"/>
  <c r="H26" i="1"/>
  <c r="I26" i="1" s="1"/>
  <c r="J26" i="1" s="1"/>
  <c r="K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H21" i="1"/>
  <c r="I21" i="1" s="1"/>
  <c r="J21" i="1" s="1"/>
  <c r="K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8" i="1"/>
  <c r="C49" i="1" s="1"/>
  <c r="D49" i="1" s="1"/>
  <c r="C43" i="1"/>
  <c r="C50" i="1" s="1"/>
  <c r="D50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L26" i="1" s="1"/>
  <c r="D48" i="1" s="1"/>
  <c r="M12" i="1"/>
  <c r="M11" i="1"/>
  <c r="M9" i="1"/>
  <c r="M8" i="1"/>
  <c r="M7" i="1"/>
  <c r="M10" i="1" s="1"/>
  <c r="C4" i="1"/>
  <c r="C46" i="1" s="1"/>
  <c r="H7" i="1"/>
  <c r="I7" i="1" s="1"/>
  <c r="D46" i="1" l="1"/>
  <c r="H12" i="1"/>
  <c r="H11" i="1"/>
  <c r="H10" i="1"/>
  <c r="H9" i="1"/>
  <c r="H8" i="1"/>
  <c r="I10" i="1" l="1"/>
  <c r="J10" i="1" s="1"/>
  <c r="K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s="1"/>
  <c r="L10" i="1" l="1"/>
  <c r="C47" i="1" s="1"/>
  <c r="D47" i="1" s="1"/>
  <c r="D51" i="1" s="1"/>
  <c r="C57" i="1"/>
  <c r="C58" i="1" l="1"/>
  <c r="C51" i="1"/>
  <c r="C56" i="1" s="1"/>
  <c r="C60" i="1"/>
  <c r="D60" i="1"/>
  <c r="D56" i="1" l="1"/>
  <c r="D52" i="1"/>
  <c r="C59" i="1"/>
  <c r="C52" i="1"/>
  <c r="C53" i="1"/>
  <c r="C54" i="1" l="1"/>
  <c r="C55" i="1" l="1"/>
  <c r="I40" i="2" l="1"/>
  <c r="I44" i="2"/>
  <c r="I45" i="2"/>
</calcChain>
</file>

<file path=xl/sharedStrings.xml><?xml version="1.0" encoding="utf-8"?>
<sst xmlns="http://schemas.openxmlformats.org/spreadsheetml/2006/main" count="135" uniqueCount="112">
  <si>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</si>
  <si>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</si>
  <si>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</si>
  <si>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</si>
  <si>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</si>
  <si>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</si>
  <si>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</si>
  <si>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</si>
  <si>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</si>
  <si>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</si>
  <si>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</si>
  <si>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</si>
  <si>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</si>
  <si>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</si>
  <si>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</si>
  <si>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</si>
  <si>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</si>
  <si>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</si>
  <si>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</si>
  <si>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</si>
  <si>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</si>
  <si>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</si>
  <si>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</si>
  <si>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</si>
  <si>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</si>
  <si>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</si>
  <si>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total plot</t>
  </si>
  <si>
    <t>Area under open space</t>
  </si>
  <si>
    <t>Area under CFC</t>
  </si>
  <si>
    <t>Area under internal road &amp; existing roads</t>
  </si>
  <si>
    <t>Net Plot Area</t>
  </si>
  <si>
    <t>Proposed BUA</t>
  </si>
  <si>
    <t xml:space="preserve">Type - A </t>
  </si>
  <si>
    <t>Type - B (Ground + 1st Floor)</t>
  </si>
  <si>
    <t>Type - D (2 Nos.)</t>
  </si>
  <si>
    <t>Type - E (2 Nos.)</t>
  </si>
  <si>
    <t>Type - F (2 Nos.)</t>
  </si>
  <si>
    <t>Type - G</t>
  </si>
  <si>
    <t xml:space="preserve">Carpet area as per measurement </t>
  </si>
  <si>
    <t>Ground Floor</t>
  </si>
  <si>
    <t>First floor with AC sheet roof</t>
  </si>
  <si>
    <t>Shed 1</t>
  </si>
  <si>
    <t>Shed 2</t>
  </si>
  <si>
    <t>Shed 3</t>
  </si>
  <si>
    <t>ACC wokrshop</t>
  </si>
  <si>
    <t>Sq. Ft.</t>
  </si>
  <si>
    <t>Height - ft</t>
  </si>
  <si>
    <t>ACC store</t>
  </si>
  <si>
    <t>Raw Material Store</t>
  </si>
  <si>
    <t>slopping to main shed</t>
  </si>
  <si>
    <t>Coal store</t>
  </si>
  <si>
    <t>coal feeding</t>
  </si>
  <si>
    <t>Extra shed</t>
  </si>
  <si>
    <t xml:space="preserve">Secuirty cabin and labour room not measured </t>
  </si>
  <si>
    <t>Office - Ground + 1 upper floor</t>
  </si>
  <si>
    <t xml:space="preserve">Plot area as per Agreement </t>
  </si>
  <si>
    <t xml:space="preserve">Gat No. </t>
  </si>
  <si>
    <t>sq. m</t>
  </si>
  <si>
    <t>16 (pt)</t>
  </si>
  <si>
    <t>4 (pt)</t>
  </si>
  <si>
    <t>21 (pt)</t>
  </si>
  <si>
    <t>Total</t>
  </si>
  <si>
    <t>Constructed area as per Plan - 2020</t>
  </si>
  <si>
    <t>sqm</t>
  </si>
  <si>
    <t>Scrap Store</t>
  </si>
  <si>
    <t>Store</t>
  </si>
  <si>
    <t>D. G. Set</t>
  </si>
  <si>
    <t>Total BUA</t>
  </si>
  <si>
    <t>Sq.ft</t>
  </si>
  <si>
    <t>In sq.mt</t>
  </si>
  <si>
    <t>Coal Feeding area</t>
  </si>
  <si>
    <t xml:space="preserve">Coal Store </t>
  </si>
  <si>
    <t xml:space="preserve">Loading &amp; Unloading </t>
  </si>
  <si>
    <t>Tr. Yard</t>
  </si>
  <si>
    <t>Main Shed</t>
  </si>
  <si>
    <t>Workers rest room -1</t>
  </si>
  <si>
    <t>Workers rest room -2</t>
  </si>
  <si>
    <t>Workers rest room -3</t>
  </si>
  <si>
    <t>store room</t>
  </si>
  <si>
    <t>Pantry</t>
  </si>
  <si>
    <t xml:space="preserve">Lunch Room </t>
  </si>
  <si>
    <t>Ground floor Area</t>
  </si>
  <si>
    <t>First floor Area</t>
  </si>
  <si>
    <t xml:space="preserve">Office Building </t>
  </si>
  <si>
    <t xml:space="preserve">Finished product Bed </t>
  </si>
  <si>
    <t>sq.mt</t>
  </si>
  <si>
    <t>Approval summary and FSI Details are not available</t>
  </si>
  <si>
    <t>Work sho area</t>
  </si>
  <si>
    <t>Total Area</t>
  </si>
  <si>
    <t>As per Approved Plan plot area - 2004</t>
  </si>
  <si>
    <t>Total Area consider for valuation purpose</t>
  </si>
  <si>
    <t>sq.ft</t>
  </si>
  <si>
    <t xml:space="preserve">Approved area </t>
  </si>
  <si>
    <t>Approved area considered</t>
  </si>
  <si>
    <t>Unapproved area</t>
  </si>
  <si>
    <t>Not Considered</t>
  </si>
  <si>
    <t>Type A</t>
  </si>
  <si>
    <t>Type B</t>
  </si>
  <si>
    <t>Type C</t>
  </si>
  <si>
    <t>Type - C ( 1 no.)</t>
  </si>
  <si>
    <t>Under ground water tank</t>
  </si>
  <si>
    <t>Structure Value - Approved Area</t>
  </si>
  <si>
    <t>Office Building</t>
  </si>
  <si>
    <t>Main shed</t>
  </si>
  <si>
    <t>Rest Room</t>
  </si>
  <si>
    <t>Structure Value Non - - Approved Area</t>
  </si>
  <si>
    <t>Unapproved Area</t>
  </si>
  <si>
    <t>Structure Value (approved)</t>
  </si>
  <si>
    <t>Structure Value (Unapproved)</t>
  </si>
  <si>
    <t>Champion Rolling Pvt. Ltd.</t>
  </si>
  <si>
    <t>.</t>
  </si>
  <si>
    <t>Work shop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</si>
</sst>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1"/>
      <name val="Arial Narrow"/>
      <family val="2"/>
    </font>
    <font>
      <b/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Alignment="1">
      <alignment horizontal="right" wrapText="1"/>
    </xf>
    <xf numFmtId="0" fontId="9" fillId="0" borderId="0" xfId="0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9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4" fontId="14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4" fontId="14" fillId="0" borderId="0" xfId="0" applyNumberFormat="1" applyFont="1"/>
    <xf numFmtId="4" fontId="13" fillId="0" borderId="0" xfId="0" applyNumberFormat="1" applyFont="1" applyAlignment="1">
      <alignment vertical="top"/>
    </xf>
    <xf numFmtId="0" fontId="1" fillId="0" borderId="0" xfId="0" applyFont="1" applyAlignment="1">
      <alignment horizontal="right"/>
    </xf>
    <xf numFmtId="0" fontId="16" fillId="0" borderId="0" xfId="0" applyFont="1"/>
    <xf numFmtId="0" fontId="8" fillId="0" borderId="0" xfId="0" applyFont="1"/>
    <xf numFmtId="4" fontId="14" fillId="0" borderId="0" xfId="0" applyNumberFormat="1" applyFont="1" applyAlignment="1">
      <alignment horizontal="right"/>
    </xf>
    <xf numFmtId="2" fontId="0" fillId="0" borderId="0" xfId="0" applyNumberFormat="1"/>
    <xf numFmtId="0" fontId="19" fillId="0" borderId="0" xfId="0" applyFont="1"/>
    <xf numFmtId="2" fontId="1" fillId="0" borderId="0" xfId="0" applyNumberFormat="1" applyFont="1" applyAlignment="1">
      <alignment horizontal="right"/>
    </xf>
    <xf numFmtId="0" fontId="17" fillId="0" borderId="0" xfId="0" applyFont="1"/>
    <xf numFmtId="4" fontId="0" fillId="0" borderId="0" xfId="0" applyNumberFormat="1"/>
    <xf numFmtId="2" fontId="16" fillId="0" borderId="0" xfId="0" applyNumberFormat="1" applyFont="1"/>
    <xf numFmtId="0" fontId="20" fillId="0" borderId="0" xfId="0" applyFont="1" applyAlignment="1">
      <alignment vertical="top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0" xfId="0" applyFont="1"/>
    <xf numFmtId="2" fontId="21" fillId="0" borderId="0" xfId="0" applyNumberFormat="1" applyFont="1"/>
    <xf numFmtId="2" fontId="22" fillId="0" borderId="0" xfId="0" applyNumberFormat="1" applyFont="1"/>
    <xf numFmtId="2" fontId="21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17" fillId="0" borderId="0" xfId="0" applyNumberFormat="1" applyFont="1"/>
    <xf numFmtId="4" fontId="16" fillId="0" borderId="0" xfId="0" applyNumberFormat="1" applyFont="1"/>
    <xf numFmtId="4" fontId="10" fillId="0" borderId="1" xfId="0" applyNumberFormat="1" applyFont="1" applyBorder="1" applyAlignment="1">
      <alignment vertical="top"/>
    </xf>
    <xf numFmtId="4" fontId="8" fillId="0" borderId="0" xfId="0" applyNumberFormat="1" applyFont="1"/>
    <xf numFmtId="4" fontId="11" fillId="0" borderId="0" xfId="0" applyNumberFormat="1" applyFont="1" applyAlignment="1">
      <alignment horizontal="right" wrapText="1"/>
    </xf>
    <xf numFmtId="4" fontId="13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4" fontId="14" fillId="0" borderId="1" xfId="0" applyNumberFormat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6"/>
  <sheetViews>
    <sheetView tabSelected="1" zoomScale="115" zoomScaleNormal="115" workbookViewId="0">
      <pane xSplit="3" ySplit="5" topLeftCell="D42" activePane="bottomRight" state="frozen"/>
      <selection pane="topRight" activeCell="D1" sqref="D1"/>
      <selection pane="bottomLeft" activeCell="A6" sqref="A6"/>
      <selection pane="bottomRight" activeCell="C51" sqref="C51"/>
    </sheetView>
  </sheetViews>
  <sheetFormatPr defaultRowHeight="16.5" x14ac:dyDescent="0.3"/>
  <cols>
    <col min="1" max="1" width="9.140625" style="55"/>
    <col min="2" max="2" width="19.5703125" style="2" bestFit="1" customWidth="1"/>
    <col min="3" max="3" width="14.140625" style="1" customWidth="1"/>
    <col min="4" max="4" width="16.42578125" style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35" style="1" customWidth="1"/>
    <col min="10" max="10" width="13.140625" style="7" customWidth="1"/>
    <col min="11" max="11" width="14.140625" style="1" customWidth="1"/>
    <col min="12" max="12" width="23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17</v>
      </c>
    </row>
    <row r="2" spans="1:15" x14ac:dyDescent="0.3">
      <c r="B2" s="23" t="s">
        <v>15</v>
      </c>
      <c r="C2" s="1">
        <v>18455</v>
      </c>
      <c r="E2" s="4"/>
      <c r="F2" s="4"/>
      <c r="G2" s="25"/>
      <c r="H2" s="1"/>
    </row>
    <row r="3" spans="1:15" x14ac:dyDescent="0.3">
      <c r="B3" s="24" t="s">
        <v>10</v>
      </c>
      <c r="C3" s="28">
        <v>2000</v>
      </c>
      <c r="D3" s="15"/>
      <c r="E3" s="27"/>
      <c r="F3" s="27"/>
      <c r="G3" s="15"/>
      <c r="H3" s="1"/>
    </row>
    <row r="4" spans="1:15" x14ac:dyDescent="0.3">
      <c r="B4" s="35" t="s">
        <v>22</v>
      </c>
      <c r="C4" s="19">
        <f>ROUND((C2*C3),0)</f>
        <v>36910000</v>
      </c>
      <c r="F4" s="22"/>
      <c r="G4" s="22"/>
    </row>
    <row r="5" spans="1:15" ht="33" x14ac:dyDescent="0.3">
      <c r="B5" s="13" t="s">
        <v>101</v>
      </c>
    </row>
    <row r="6" spans="1:15" s="3" customFormat="1" ht="39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5" t="s">
        <v>2</v>
      </c>
      <c r="I6" s="8" t="s">
        <v>6</v>
      </c>
      <c r="J6" s="8" t="s">
        <v>7</v>
      </c>
      <c r="K6" s="5" t="s">
        <v>20</v>
      </c>
      <c r="L6" s="5" t="s">
        <v>21</v>
      </c>
      <c r="M6" s="5" t="s">
        <v>8</v>
      </c>
    </row>
    <row r="7" spans="1:15" ht="17.25" thickBot="1" x14ac:dyDescent="0.35">
      <c r="B7" s="56" t="s">
        <v>102</v>
      </c>
      <c r="C7" s="58">
        <v>135.36000000000001</v>
      </c>
      <c r="D7" s="40">
        <v>2010</v>
      </c>
      <c r="E7" s="40">
        <v>2023</v>
      </c>
      <c r="F7" s="40">
        <v>60</v>
      </c>
      <c r="G7" s="54">
        <v>18000</v>
      </c>
      <c r="H7" s="38">
        <f>E7-D7</f>
        <v>13</v>
      </c>
      <c r="I7" s="6">
        <f>IF(H7&gt;=5,90*H7/F7,0)</f>
        <v>19.5</v>
      </c>
      <c r="J7" s="15">
        <f t="shared" ref="J7:J12" si="0">G7/100*I7</f>
        <v>3510</v>
      </c>
      <c r="K7" s="15">
        <f>ROUND((G7-J7),0)</f>
        <v>14490</v>
      </c>
      <c r="L7" s="15">
        <f>ROUND((K7*C7),0)</f>
        <v>1961366</v>
      </c>
      <c r="M7" s="15">
        <f>ROUND((C7*G7),0)</f>
        <v>2436480</v>
      </c>
    </row>
    <row r="8" spans="1:15" ht="17.25" thickBot="1" x14ac:dyDescent="0.35">
      <c r="A8" s="3"/>
      <c r="B8" s="56" t="s">
        <v>103</v>
      </c>
      <c r="C8" s="59">
        <v>4536</v>
      </c>
      <c r="D8" s="40">
        <v>2008</v>
      </c>
      <c r="E8" s="40">
        <v>2023</v>
      </c>
      <c r="F8" s="40">
        <v>50</v>
      </c>
      <c r="G8" s="54">
        <v>10000</v>
      </c>
      <c r="H8" s="38">
        <f t="shared" ref="H8:H12" si="1">E8-D8</f>
        <v>15</v>
      </c>
      <c r="I8" s="6">
        <f t="shared" ref="I8:I14" si="2">IF(H8&gt;=5,90*H8/F8,0)</f>
        <v>27</v>
      </c>
      <c r="J8" s="15">
        <f t="shared" si="0"/>
        <v>2700</v>
      </c>
      <c r="K8" s="15">
        <f t="shared" ref="K8:K12" si="3">ROUND((G8-J8),0)</f>
        <v>7300</v>
      </c>
      <c r="L8" s="15">
        <f t="shared" ref="L8:L12" si="4">ROUND((K8*C8),0)</f>
        <v>33112800</v>
      </c>
      <c r="M8" s="15">
        <f t="shared" ref="M8:M12" si="5">ROUND((C8*G8),0)</f>
        <v>45360000</v>
      </c>
    </row>
    <row r="9" spans="1:15" s="11" customFormat="1" ht="17.25" customHeight="1" thickBot="1" x14ac:dyDescent="0.35">
      <c r="A9" s="55"/>
      <c r="B9" s="56" t="s">
        <v>104</v>
      </c>
      <c r="C9" s="59">
        <v>158.6</v>
      </c>
      <c r="D9" s="40">
        <v>2012</v>
      </c>
      <c r="E9" s="40">
        <v>2023</v>
      </c>
      <c r="F9" s="40">
        <v>40</v>
      </c>
      <c r="G9" s="54">
        <v>8000</v>
      </c>
      <c r="H9" s="38">
        <f t="shared" si="1"/>
        <v>11</v>
      </c>
      <c r="I9" s="6">
        <f t="shared" si="2"/>
        <v>24.75</v>
      </c>
      <c r="J9" s="15">
        <f t="shared" si="0"/>
        <v>1980</v>
      </c>
      <c r="K9" s="15">
        <f t="shared" si="3"/>
        <v>6020</v>
      </c>
      <c r="L9" s="15">
        <f t="shared" si="4"/>
        <v>954772</v>
      </c>
      <c r="M9" s="15">
        <f t="shared" si="5"/>
        <v>1268800</v>
      </c>
      <c r="N9" s="6"/>
      <c r="O9" s="1"/>
    </row>
    <row r="10" spans="1:15" ht="17.25" thickBot="1" x14ac:dyDescent="0.35">
      <c r="A10" s="3"/>
      <c r="B10" s="48">
        <f>C10*10.764</f>
        <v>51989.689439999995</v>
      </c>
      <c r="C10" s="59">
        <f>SUM(C7:C9)</f>
        <v>4829.96</v>
      </c>
      <c r="D10" s="40">
        <v>0</v>
      </c>
      <c r="E10" s="40">
        <v>0</v>
      </c>
      <c r="F10" s="40">
        <v>0</v>
      </c>
      <c r="G10" s="54"/>
      <c r="H10" s="38">
        <f t="shared" si="1"/>
        <v>0</v>
      </c>
      <c r="I10" s="6">
        <f t="shared" si="2"/>
        <v>0</v>
      </c>
      <c r="J10" s="15">
        <f t="shared" si="0"/>
        <v>0</v>
      </c>
      <c r="K10" s="15">
        <f t="shared" si="3"/>
        <v>0</v>
      </c>
      <c r="L10" s="92">
        <f>SUM(L7:L9)</f>
        <v>36028938</v>
      </c>
      <c r="M10" s="92">
        <f>SUM(M7:M9)</f>
        <v>49065280</v>
      </c>
      <c r="N10" s="12"/>
    </row>
    <row r="11" spans="1:15" ht="17.25" thickBot="1" x14ac:dyDescent="0.35">
      <c r="B11" s="48" t="s">
        <v>110</v>
      </c>
      <c r="C11" s="59">
        <v>0</v>
      </c>
      <c r="D11" s="40">
        <v>0</v>
      </c>
      <c r="E11" s="40">
        <v>0</v>
      </c>
      <c r="F11" s="40">
        <v>0</v>
      </c>
      <c r="G11" s="54"/>
      <c r="H11" s="38">
        <f t="shared" si="1"/>
        <v>0</v>
      </c>
      <c r="I11" s="6">
        <f t="shared" si="2"/>
        <v>0</v>
      </c>
      <c r="J11" s="15">
        <f t="shared" si="0"/>
        <v>0</v>
      </c>
      <c r="K11" s="15">
        <f t="shared" si="3"/>
        <v>0</v>
      </c>
      <c r="L11" s="15">
        <f t="shared" si="4"/>
        <v>0</v>
      </c>
      <c r="M11" s="15">
        <f t="shared" si="5"/>
        <v>0</v>
      </c>
      <c r="N11" s="12"/>
    </row>
    <row r="12" spans="1:15" ht="17.25" thickBot="1" x14ac:dyDescent="0.35">
      <c r="B12" s="48"/>
      <c r="C12" s="59">
        <v>0</v>
      </c>
      <c r="D12" s="40">
        <v>0</v>
      </c>
      <c r="E12" s="40">
        <v>0</v>
      </c>
      <c r="F12" s="40">
        <v>0</v>
      </c>
      <c r="G12" s="54"/>
      <c r="H12" s="38">
        <f t="shared" si="1"/>
        <v>0</v>
      </c>
      <c r="I12" s="6">
        <f t="shared" si="2"/>
        <v>0</v>
      </c>
      <c r="J12" s="15">
        <f t="shared" si="0"/>
        <v>0</v>
      </c>
      <c r="K12" s="15">
        <f t="shared" si="3"/>
        <v>0</v>
      </c>
      <c r="L12" s="15">
        <f t="shared" si="4"/>
        <v>0</v>
      </c>
      <c r="M12" s="15">
        <f t="shared" si="5"/>
        <v>0</v>
      </c>
      <c r="N12" s="12"/>
    </row>
    <row r="13" spans="1:15" ht="33.75" thickBot="1" x14ac:dyDescent="0.35">
      <c r="A13" s="3"/>
      <c r="B13" s="13" t="s">
        <v>105</v>
      </c>
      <c r="C13" s="57">
        <v>0</v>
      </c>
      <c r="D13" s="40">
        <v>0</v>
      </c>
      <c r="E13" s="40">
        <v>0</v>
      </c>
      <c r="F13" s="40">
        <v>0</v>
      </c>
      <c r="G13" s="54">
        <v>0</v>
      </c>
      <c r="H13" s="38">
        <f t="shared" ref="H13:H14" si="6">E13-D13</f>
        <v>0</v>
      </c>
      <c r="I13" s="6">
        <f t="shared" si="2"/>
        <v>0</v>
      </c>
      <c r="J13" s="15">
        <f t="shared" ref="J13:J14" si="7">G13/100*I13</f>
        <v>0</v>
      </c>
      <c r="K13" s="15">
        <f t="shared" ref="K13:K14" si="8">ROUND((G13-J13),0)</f>
        <v>0</v>
      </c>
      <c r="L13" s="15">
        <f t="shared" ref="L13:L14" si="9">ROUND((K13*C13),0)</f>
        <v>0</v>
      </c>
      <c r="M13" s="15">
        <f t="shared" ref="M13:M14" si="10">ROUND((C13*G13),0)</f>
        <v>0</v>
      </c>
      <c r="N13" s="12"/>
    </row>
    <row r="14" spans="1:15" ht="17.25" thickBot="1" x14ac:dyDescent="0.35">
      <c r="A14" s="3"/>
      <c r="B14" s="56" t="s">
        <v>103</v>
      </c>
      <c r="C14" s="57">
        <v>1055.47</v>
      </c>
      <c r="D14" s="40">
        <v>2008</v>
      </c>
      <c r="E14" s="40">
        <v>2023</v>
      </c>
      <c r="F14" s="40">
        <v>50</v>
      </c>
      <c r="G14" s="54">
        <v>10000</v>
      </c>
      <c r="H14" s="38">
        <f t="shared" si="6"/>
        <v>15</v>
      </c>
      <c r="I14" s="6">
        <f t="shared" si="2"/>
        <v>27</v>
      </c>
      <c r="J14" s="15">
        <f t="shared" si="7"/>
        <v>2700</v>
      </c>
      <c r="K14" s="15">
        <f t="shared" si="8"/>
        <v>7300</v>
      </c>
      <c r="L14" s="15">
        <f t="shared" si="9"/>
        <v>7704931</v>
      </c>
      <c r="M14" s="15">
        <f t="shared" si="10"/>
        <v>10554700</v>
      </c>
      <c r="N14" s="12"/>
    </row>
    <row r="15" spans="1:15" ht="17.25" thickBot="1" x14ac:dyDescent="0.35">
      <c r="B15" s="1" t="s">
        <v>70</v>
      </c>
      <c r="C15" s="34">
        <v>158.4</v>
      </c>
      <c r="D15" s="40">
        <v>2020</v>
      </c>
      <c r="E15" s="40">
        <v>2023</v>
      </c>
      <c r="F15" s="40">
        <v>50</v>
      </c>
      <c r="G15" s="54">
        <v>8000</v>
      </c>
      <c r="H15" s="38">
        <f t="shared" ref="H15:H26" si="11">E15-D15</f>
        <v>3</v>
      </c>
      <c r="I15" s="6">
        <f t="shared" ref="I15:I26" si="12">IF(H15&gt;=5,90*H15/F15,0)</f>
        <v>0</v>
      </c>
      <c r="J15" s="15">
        <f t="shared" ref="J15:J26" si="13">G15/100*I15</f>
        <v>0</v>
      </c>
      <c r="K15" s="15">
        <f t="shared" ref="K15:K26" si="14">ROUND((G15-J15),0)</f>
        <v>8000</v>
      </c>
      <c r="L15" s="15">
        <f t="shared" ref="L15:L25" si="15">ROUND((K15*C15),0)</f>
        <v>1267200</v>
      </c>
      <c r="M15" s="15">
        <f t="shared" ref="M15:M25" si="16">ROUND((C15*G15),0)</f>
        <v>1267200</v>
      </c>
      <c r="N15" s="12"/>
    </row>
    <row r="16" spans="1:15" ht="17.25" thickBot="1" x14ac:dyDescent="0.35">
      <c r="A16" s="3"/>
      <c r="B16" s="1" t="s">
        <v>71</v>
      </c>
      <c r="C16" s="57">
        <v>459.98</v>
      </c>
      <c r="D16" s="40">
        <v>2020</v>
      </c>
      <c r="E16" s="40">
        <v>2023</v>
      </c>
      <c r="F16" s="40">
        <v>50</v>
      </c>
      <c r="G16" s="54">
        <v>8000</v>
      </c>
      <c r="H16" s="38">
        <f t="shared" si="11"/>
        <v>3</v>
      </c>
      <c r="I16" s="6">
        <f t="shared" si="12"/>
        <v>0</v>
      </c>
      <c r="J16" s="15">
        <f t="shared" si="13"/>
        <v>0</v>
      </c>
      <c r="K16" s="15">
        <f t="shared" si="14"/>
        <v>8000</v>
      </c>
      <c r="L16" s="15">
        <f t="shared" si="15"/>
        <v>3679840</v>
      </c>
      <c r="M16" s="15">
        <f t="shared" si="16"/>
        <v>3679840</v>
      </c>
      <c r="N16" s="12"/>
    </row>
    <row r="17" spans="1:15" ht="17.25" thickBot="1" x14ac:dyDescent="0.35">
      <c r="B17" s="1" t="s">
        <v>72</v>
      </c>
      <c r="C17" s="57">
        <v>1255.4100000000001</v>
      </c>
      <c r="D17" s="40">
        <v>2008</v>
      </c>
      <c r="E17" s="40">
        <v>2023</v>
      </c>
      <c r="F17" s="40">
        <v>50</v>
      </c>
      <c r="G17" s="54">
        <v>8000</v>
      </c>
      <c r="H17" s="38">
        <f t="shared" si="11"/>
        <v>15</v>
      </c>
      <c r="I17" s="6">
        <f t="shared" si="12"/>
        <v>27</v>
      </c>
      <c r="J17" s="15">
        <f t="shared" si="13"/>
        <v>2160</v>
      </c>
      <c r="K17" s="15">
        <f t="shared" si="14"/>
        <v>5840</v>
      </c>
      <c r="L17" s="15">
        <f t="shared" si="15"/>
        <v>7331594</v>
      </c>
      <c r="M17" s="15">
        <f t="shared" si="16"/>
        <v>10043280</v>
      </c>
      <c r="N17" s="12"/>
    </row>
    <row r="18" spans="1:15" ht="17.25" thickBot="1" x14ac:dyDescent="0.35">
      <c r="A18" s="3"/>
      <c r="B18" s="1" t="s">
        <v>84</v>
      </c>
      <c r="C18" s="57">
        <v>332.68</v>
      </c>
      <c r="D18" s="40">
        <v>2012</v>
      </c>
      <c r="E18" s="40">
        <v>2023</v>
      </c>
      <c r="F18" s="40">
        <v>50</v>
      </c>
      <c r="G18" s="54">
        <v>8000</v>
      </c>
      <c r="H18" s="38">
        <f t="shared" si="11"/>
        <v>11</v>
      </c>
      <c r="I18" s="6">
        <f t="shared" si="12"/>
        <v>19.8</v>
      </c>
      <c r="J18" s="15">
        <f t="shared" si="13"/>
        <v>1584</v>
      </c>
      <c r="K18" s="15">
        <f t="shared" si="14"/>
        <v>6416</v>
      </c>
      <c r="L18" s="15">
        <f t="shared" si="15"/>
        <v>2134475</v>
      </c>
      <c r="M18" s="15">
        <f t="shared" si="16"/>
        <v>2661440</v>
      </c>
      <c r="N18" s="12"/>
    </row>
    <row r="19" spans="1:15" ht="17.25" thickBot="1" x14ac:dyDescent="0.35">
      <c r="B19" s="52" t="s">
        <v>104</v>
      </c>
      <c r="C19" s="57">
        <v>41.99</v>
      </c>
      <c r="D19" s="40">
        <v>2020</v>
      </c>
      <c r="E19" s="40">
        <v>2023</v>
      </c>
      <c r="F19" s="40">
        <v>40</v>
      </c>
      <c r="G19" s="54">
        <v>8000</v>
      </c>
      <c r="H19" s="38">
        <f t="shared" si="11"/>
        <v>3</v>
      </c>
      <c r="I19" s="6">
        <f t="shared" si="12"/>
        <v>0</v>
      </c>
      <c r="J19" s="15">
        <f t="shared" si="13"/>
        <v>0</v>
      </c>
      <c r="K19" s="15">
        <f t="shared" si="14"/>
        <v>8000</v>
      </c>
      <c r="L19" s="15">
        <f t="shared" si="15"/>
        <v>335920</v>
      </c>
      <c r="M19" s="15">
        <f t="shared" si="16"/>
        <v>335920</v>
      </c>
      <c r="N19" s="12"/>
    </row>
    <row r="20" spans="1:15" ht="17.25" thickBot="1" x14ac:dyDescent="0.35">
      <c r="A20" s="3"/>
      <c r="B20" s="56" t="s">
        <v>102</v>
      </c>
      <c r="C20" s="57">
        <v>172.58</v>
      </c>
      <c r="D20" s="40">
        <v>2010</v>
      </c>
      <c r="E20" s="40">
        <v>2023</v>
      </c>
      <c r="F20" s="40">
        <v>60</v>
      </c>
      <c r="G20" s="54">
        <v>18000</v>
      </c>
      <c r="H20" s="38">
        <f t="shared" si="11"/>
        <v>13</v>
      </c>
      <c r="I20" s="6">
        <f t="shared" si="12"/>
        <v>19.5</v>
      </c>
      <c r="J20" s="15">
        <f t="shared" si="13"/>
        <v>3510</v>
      </c>
      <c r="K20" s="15">
        <f t="shared" si="14"/>
        <v>14490</v>
      </c>
      <c r="L20" s="15">
        <f t="shared" si="15"/>
        <v>2500684</v>
      </c>
      <c r="M20" s="15">
        <f t="shared" si="16"/>
        <v>3106440</v>
      </c>
      <c r="N20" s="12"/>
    </row>
    <row r="21" spans="1:15" ht="17.25" thickBot="1" x14ac:dyDescent="0.35">
      <c r="B21" s="1" t="s">
        <v>64</v>
      </c>
      <c r="C21" s="71">
        <f>7.83*4.88</f>
        <v>38.2104</v>
      </c>
      <c r="D21" s="40">
        <v>2008</v>
      </c>
      <c r="E21" s="40">
        <v>2023</v>
      </c>
      <c r="F21" s="40">
        <v>50</v>
      </c>
      <c r="G21" s="54">
        <v>8000</v>
      </c>
      <c r="H21" s="38">
        <f t="shared" si="11"/>
        <v>15</v>
      </c>
      <c r="I21" s="6">
        <f t="shared" si="12"/>
        <v>27</v>
      </c>
      <c r="J21" s="15">
        <f t="shared" si="13"/>
        <v>2160</v>
      </c>
      <c r="K21" s="15">
        <f t="shared" si="14"/>
        <v>5840</v>
      </c>
      <c r="L21" s="15">
        <f t="shared" ref="L21" si="17">ROUND((K21*C21),0)</f>
        <v>223149</v>
      </c>
      <c r="M21" s="15">
        <f t="shared" ref="M21" si="18">ROUND((C21*G21),0)</f>
        <v>305683</v>
      </c>
      <c r="N21" s="12"/>
    </row>
    <row r="22" spans="1:15" ht="17.25" thickBot="1" x14ac:dyDescent="0.35">
      <c r="A22" s="3"/>
      <c r="B22" s="1" t="s">
        <v>65</v>
      </c>
      <c r="C22" s="71">
        <f>9.34*4.57</f>
        <v>42.683800000000005</v>
      </c>
      <c r="D22" s="40">
        <v>2008</v>
      </c>
      <c r="E22" s="40">
        <v>2023</v>
      </c>
      <c r="F22" s="40">
        <v>50</v>
      </c>
      <c r="G22" s="54">
        <v>8000</v>
      </c>
      <c r="H22" s="38">
        <f t="shared" si="11"/>
        <v>15</v>
      </c>
      <c r="I22" s="6">
        <f t="shared" si="12"/>
        <v>27</v>
      </c>
      <c r="J22" s="15">
        <f t="shared" si="13"/>
        <v>2160</v>
      </c>
      <c r="K22" s="15">
        <f t="shared" si="14"/>
        <v>5840</v>
      </c>
      <c r="L22" s="15">
        <f t="shared" si="15"/>
        <v>249273</v>
      </c>
      <c r="M22" s="15">
        <f t="shared" si="16"/>
        <v>341470</v>
      </c>
      <c r="N22" s="12"/>
    </row>
    <row r="23" spans="1:15" ht="17.25" thickBot="1" x14ac:dyDescent="0.35">
      <c r="A23" s="3"/>
      <c r="B23" s="1" t="s">
        <v>66</v>
      </c>
      <c r="C23" s="71">
        <f>4.35*4.8</f>
        <v>20.88</v>
      </c>
      <c r="D23" s="40">
        <v>2008</v>
      </c>
      <c r="E23" s="40">
        <v>2023</v>
      </c>
      <c r="F23" s="40">
        <v>50</v>
      </c>
      <c r="G23" s="54">
        <v>8000</v>
      </c>
      <c r="H23" s="38">
        <f t="shared" si="11"/>
        <v>15</v>
      </c>
      <c r="I23" s="6">
        <f t="shared" si="12"/>
        <v>27</v>
      </c>
      <c r="J23" s="15">
        <f t="shared" si="13"/>
        <v>2160</v>
      </c>
      <c r="K23" s="15">
        <f t="shared" si="14"/>
        <v>5840</v>
      </c>
      <c r="L23" s="15">
        <f t="shared" si="15"/>
        <v>121939</v>
      </c>
      <c r="M23" s="15">
        <f t="shared" si="16"/>
        <v>167040</v>
      </c>
      <c r="N23" s="12"/>
    </row>
    <row r="24" spans="1:15" ht="17.25" thickBot="1" x14ac:dyDescent="0.35">
      <c r="B24" s="1" t="s">
        <v>111</v>
      </c>
      <c r="C24" s="71">
        <f>52.9*8.53</f>
        <v>451.23699999999997</v>
      </c>
      <c r="D24" s="40">
        <v>2008</v>
      </c>
      <c r="E24" s="40">
        <v>2023</v>
      </c>
      <c r="F24" s="40">
        <v>50</v>
      </c>
      <c r="G24" s="54">
        <v>8000</v>
      </c>
      <c r="H24" s="38">
        <f t="shared" si="11"/>
        <v>15</v>
      </c>
      <c r="I24" s="6">
        <f t="shared" si="12"/>
        <v>27</v>
      </c>
      <c r="J24" s="15">
        <f t="shared" si="13"/>
        <v>2160</v>
      </c>
      <c r="K24" s="15">
        <f t="shared" si="14"/>
        <v>5840</v>
      </c>
      <c r="L24" s="15">
        <f t="shared" si="15"/>
        <v>2635224</v>
      </c>
      <c r="M24" s="15">
        <f t="shared" si="16"/>
        <v>3609896</v>
      </c>
      <c r="N24" s="12"/>
    </row>
    <row r="25" spans="1:15" ht="17.25" thickBot="1" x14ac:dyDescent="0.35">
      <c r="A25" s="3"/>
      <c r="B25" s="1" t="s">
        <v>73</v>
      </c>
      <c r="C25" s="71">
        <f>11.15*6.65</f>
        <v>74.147500000000008</v>
      </c>
      <c r="D25" s="40">
        <v>2008</v>
      </c>
      <c r="E25" s="40">
        <v>2023</v>
      </c>
      <c r="F25" s="40">
        <v>50</v>
      </c>
      <c r="G25" s="54">
        <v>8000</v>
      </c>
      <c r="H25" s="38">
        <f t="shared" si="11"/>
        <v>15</v>
      </c>
      <c r="I25" s="6">
        <f t="shared" si="12"/>
        <v>27</v>
      </c>
      <c r="J25" s="15">
        <f t="shared" si="13"/>
        <v>2160</v>
      </c>
      <c r="K25" s="15">
        <f t="shared" si="14"/>
        <v>5840</v>
      </c>
      <c r="L25" s="15">
        <f t="shared" si="15"/>
        <v>433021</v>
      </c>
      <c r="M25" s="15">
        <f t="shared" si="16"/>
        <v>593180</v>
      </c>
      <c r="N25" s="12"/>
    </row>
    <row r="26" spans="1:15" ht="17.25" thickBot="1" x14ac:dyDescent="0.35">
      <c r="B26" s="53"/>
      <c r="C26" s="57">
        <v>0</v>
      </c>
      <c r="D26" s="40">
        <v>0</v>
      </c>
      <c r="E26" s="40">
        <v>0</v>
      </c>
      <c r="F26" s="40">
        <v>0</v>
      </c>
      <c r="G26" s="54">
        <v>0</v>
      </c>
      <c r="H26" s="38">
        <f t="shared" si="11"/>
        <v>0</v>
      </c>
      <c r="I26" s="6">
        <f t="shared" si="12"/>
        <v>0</v>
      </c>
      <c r="J26" s="15">
        <f t="shared" si="13"/>
        <v>0</v>
      </c>
      <c r="K26" s="15">
        <f t="shared" si="14"/>
        <v>0</v>
      </c>
      <c r="L26" s="92">
        <f>SUM(L11:L25)</f>
        <v>28617250</v>
      </c>
      <c r="M26" s="92">
        <f>SUM(M11:M25)</f>
        <v>36666089</v>
      </c>
      <c r="N26" s="12"/>
    </row>
    <row r="27" spans="1:15" x14ac:dyDescent="0.3">
      <c r="B27" s="10"/>
      <c r="C27" s="49"/>
      <c r="D27" s="50"/>
      <c r="E27" s="50"/>
      <c r="F27" s="50"/>
      <c r="G27" s="51"/>
      <c r="H27" s="12"/>
      <c r="I27" s="12"/>
      <c r="J27" s="16"/>
      <c r="K27" s="16"/>
      <c r="L27" s="16"/>
      <c r="M27" s="16"/>
      <c r="N27" s="12"/>
    </row>
    <row r="28" spans="1:15" x14ac:dyDescent="0.3">
      <c r="B28" s="10"/>
      <c r="C28" s="49"/>
      <c r="D28" s="50"/>
      <c r="E28" s="50"/>
      <c r="F28" s="50"/>
      <c r="G28" s="51"/>
      <c r="H28" s="12"/>
      <c r="I28" s="12"/>
      <c r="J28" s="16"/>
      <c r="K28" s="16"/>
      <c r="L28" s="16"/>
      <c r="M28" s="16"/>
      <c r="N28" s="12"/>
    </row>
    <row r="29" spans="1:15" ht="33" customHeight="1" x14ac:dyDescent="0.3">
      <c r="B29" s="10"/>
      <c r="C29" s="94">
        <f>C21+C10</f>
        <v>4868.1704</v>
      </c>
      <c r="D29" s="50">
        <f>C29*10.764</f>
        <v>52400.986185599999</v>
      </c>
      <c r="E29" s="50"/>
      <c r="F29" s="101" t="s">
        <v>55</v>
      </c>
      <c r="G29" s="101"/>
      <c r="H29" s="12"/>
      <c r="I29" s="61"/>
      <c r="J29" s="16"/>
      <c r="K29" s="16"/>
      <c r="L29" s="66" t="s">
        <v>38</v>
      </c>
      <c r="M29" s="29"/>
      <c r="N29" s="60"/>
      <c r="O29" s="22"/>
    </row>
    <row r="30" spans="1:15" x14ac:dyDescent="0.3">
      <c r="B30" s="10"/>
      <c r="C30" s="49"/>
      <c r="D30" s="50"/>
      <c r="E30" s="50"/>
      <c r="F30" t="s">
        <v>56</v>
      </c>
      <c r="G30" t="s">
        <v>57</v>
      </c>
      <c r="H30" s="12"/>
      <c r="I30" s="12"/>
      <c r="J30" s="16"/>
      <c r="K30" s="16"/>
      <c r="L30" s="95" t="s">
        <v>54</v>
      </c>
      <c r="M30" s="28" t="s">
        <v>45</v>
      </c>
      <c r="N30" s="96" t="s">
        <v>46</v>
      </c>
      <c r="O30" s="22"/>
    </row>
    <row r="31" spans="1:15" x14ac:dyDescent="0.3">
      <c r="A31" s="3"/>
      <c r="B31" s="10"/>
      <c r="C31" s="49"/>
      <c r="D31" s="50"/>
      <c r="E31" s="50"/>
      <c r="F31" t="s">
        <v>58</v>
      </c>
      <c r="G31">
        <v>2000</v>
      </c>
      <c r="H31" s="12"/>
      <c r="I31" s="60"/>
      <c r="J31" s="29"/>
      <c r="K31" s="16"/>
      <c r="L31" s="28" t="s">
        <v>39</v>
      </c>
      <c r="M31" s="28">
        <f>50*36</f>
        <v>1800</v>
      </c>
      <c r="N31" s="96">
        <v>10</v>
      </c>
      <c r="O31" s="22"/>
    </row>
    <row r="32" spans="1:15" x14ac:dyDescent="0.3">
      <c r="A32" s="3"/>
      <c r="B32" s="10"/>
      <c r="C32" s="49"/>
      <c r="D32" s="50"/>
      <c r="E32" s="50"/>
      <c r="F32">
        <v>2</v>
      </c>
      <c r="G32">
        <v>9900</v>
      </c>
      <c r="H32" s="12"/>
      <c r="I32" s="60"/>
      <c r="J32" s="29"/>
      <c r="K32" s="16"/>
      <c r="L32" s="28" t="s">
        <v>40</v>
      </c>
      <c r="M32" s="28">
        <f>50*36</f>
        <v>1800</v>
      </c>
      <c r="N32" s="96">
        <v>10</v>
      </c>
      <c r="O32" s="22"/>
    </row>
    <row r="33" spans="2:15" x14ac:dyDescent="0.3">
      <c r="B33" s="10"/>
      <c r="C33" s="11"/>
      <c r="D33" s="11"/>
      <c r="E33" s="11"/>
      <c r="F33" t="s">
        <v>59</v>
      </c>
      <c r="G33">
        <v>5100</v>
      </c>
      <c r="H33" s="12"/>
      <c r="I33" s="60"/>
      <c r="J33" s="29"/>
      <c r="K33" s="17"/>
      <c r="L33" s="28" t="s">
        <v>41</v>
      </c>
      <c r="M33" s="28">
        <f>212*65</f>
        <v>13780</v>
      </c>
      <c r="N33" s="96">
        <v>50</v>
      </c>
      <c r="O33" s="22"/>
    </row>
    <row r="34" spans="2:15" x14ac:dyDescent="0.3">
      <c r="B34" s="10"/>
      <c r="C34" s="11"/>
      <c r="D34" s="11"/>
      <c r="E34" s="11"/>
      <c r="F34" t="s">
        <v>60</v>
      </c>
      <c r="G34">
        <v>11300</v>
      </c>
      <c r="H34" s="12"/>
      <c r="I34" s="60"/>
      <c r="J34" s="29"/>
      <c r="K34" s="17"/>
      <c r="L34" s="28" t="s">
        <v>42</v>
      </c>
      <c r="M34" s="28">
        <f>420*60</f>
        <v>25200</v>
      </c>
      <c r="N34" s="96">
        <v>50</v>
      </c>
      <c r="O34" s="22"/>
    </row>
    <row r="35" spans="2:15" x14ac:dyDescent="0.3">
      <c r="B35" s="100" t="s">
        <v>24</v>
      </c>
      <c r="C35" s="100"/>
      <c r="D35" s="11"/>
      <c r="E35" s="11"/>
      <c r="F35" s="68" t="s">
        <v>61</v>
      </c>
      <c r="G35" s="68">
        <f>SUM(G31:G34)</f>
        <v>28300</v>
      </c>
      <c r="H35" s="12"/>
      <c r="I35" s="62"/>
      <c r="J35" s="63"/>
      <c r="K35" s="17"/>
      <c r="L35" s="28" t="s">
        <v>43</v>
      </c>
      <c r="M35" s="28">
        <f>420*60</f>
        <v>25200</v>
      </c>
      <c r="N35" s="96">
        <v>50</v>
      </c>
      <c r="O35" s="22"/>
    </row>
    <row r="36" spans="2:15" x14ac:dyDescent="0.3">
      <c r="B36" s="23" t="s">
        <v>23</v>
      </c>
      <c r="C36" s="26">
        <v>0</v>
      </c>
      <c r="D36" s="11"/>
      <c r="E36" s="11"/>
      <c r="F36" s="12"/>
      <c r="G36" s="12"/>
      <c r="H36" s="12"/>
      <c r="I36" s="11"/>
      <c r="J36" s="16"/>
      <c r="K36" s="17"/>
      <c r="L36" s="28" t="s">
        <v>44</v>
      </c>
      <c r="M36" s="28">
        <f>18*33</f>
        <v>594</v>
      </c>
      <c r="N36" s="96">
        <v>20</v>
      </c>
      <c r="O36" s="22"/>
    </row>
    <row r="37" spans="2:15" x14ac:dyDescent="0.3">
      <c r="B37" s="24" t="s">
        <v>10</v>
      </c>
      <c r="C37" s="28">
        <v>0</v>
      </c>
      <c r="D37" s="11"/>
      <c r="E37" s="11"/>
      <c r="F37" s="12"/>
      <c r="G37" s="12"/>
      <c r="H37" s="12"/>
      <c r="I37" s="64"/>
      <c r="J37" s="16"/>
      <c r="K37" s="17"/>
      <c r="L37" s="28" t="s">
        <v>47</v>
      </c>
      <c r="M37" s="28">
        <f>18*45</f>
        <v>810</v>
      </c>
      <c r="N37" s="96">
        <v>10</v>
      </c>
      <c r="O37" s="22"/>
    </row>
    <row r="38" spans="2:15" x14ac:dyDescent="0.3">
      <c r="B38" s="24" t="s">
        <v>11</v>
      </c>
      <c r="C38" s="33">
        <f>ROUND((C36*C37),0)</f>
        <v>0</v>
      </c>
      <c r="D38" s="11"/>
      <c r="E38" s="11"/>
      <c r="F38" s="12"/>
      <c r="G38" s="12"/>
      <c r="H38" s="12"/>
      <c r="I38" s="11"/>
      <c r="J38" s="29"/>
      <c r="K38" s="17"/>
      <c r="L38" s="28" t="s">
        <v>48</v>
      </c>
      <c r="M38" s="28">
        <f>80*60</f>
        <v>4800</v>
      </c>
      <c r="N38" s="96" t="s">
        <v>49</v>
      </c>
      <c r="O38" s="22"/>
    </row>
    <row r="39" spans="2:15" x14ac:dyDescent="0.3">
      <c r="B39" s="10"/>
      <c r="C39" s="11"/>
      <c r="D39" s="11"/>
      <c r="E39" s="11"/>
      <c r="F39" s="12"/>
      <c r="G39" s="12"/>
      <c r="H39" s="12"/>
      <c r="I39" s="11"/>
      <c r="J39" s="29"/>
      <c r="K39" s="17"/>
      <c r="L39" s="28" t="s">
        <v>50</v>
      </c>
      <c r="M39" s="28">
        <f>60*65</f>
        <v>3900</v>
      </c>
      <c r="N39" s="96" t="s">
        <v>49</v>
      </c>
      <c r="O39" s="22"/>
    </row>
    <row r="40" spans="2:15" ht="22.5" customHeight="1" x14ac:dyDescent="0.3">
      <c r="B40" s="98" t="s">
        <v>18</v>
      </c>
      <c r="C40" s="99"/>
      <c r="D40" s="11"/>
      <c r="E40" s="11"/>
      <c r="F40" s="12"/>
      <c r="G40" s="12"/>
      <c r="H40" s="12"/>
      <c r="I40" s="11"/>
      <c r="J40" s="60"/>
      <c r="K40" s="11"/>
      <c r="L40" s="96" t="s">
        <v>51</v>
      </c>
      <c r="M40" s="96">
        <f>30*30</f>
        <v>900</v>
      </c>
      <c r="N40" s="96" t="s">
        <v>49</v>
      </c>
      <c r="O40" s="22"/>
    </row>
    <row r="41" spans="2:15" x14ac:dyDescent="0.3">
      <c r="B41" s="23" t="s">
        <v>15</v>
      </c>
      <c r="C41" s="26">
        <v>0</v>
      </c>
      <c r="E41" s="30"/>
      <c r="F41" s="30"/>
      <c r="G41" s="31"/>
      <c r="H41" s="14"/>
      <c r="I41" s="11"/>
      <c r="J41" s="22"/>
      <c r="K41" s="21"/>
      <c r="L41" s="27" t="s">
        <v>52</v>
      </c>
      <c r="M41" s="27">
        <f>50*32</f>
        <v>1600</v>
      </c>
      <c r="N41" s="27">
        <v>10</v>
      </c>
      <c r="O41" s="22"/>
    </row>
    <row r="42" spans="2:15" x14ac:dyDescent="0.3">
      <c r="B42" s="24" t="s">
        <v>10</v>
      </c>
      <c r="C42" s="28">
        <v>0</v>
      </c>
      <c r="D42" s="32"/>
      <c r="E42" s="22"/>
      <c r="F42" s="22"/>
      <c r="G42" s="16"/>
      <c r="H42" s="14"/>
      <c r="I42" s="11"/>
      <c r="J42" s="22"/>
      <c r="K42" s="21"/>
      <c r="L42" s="27"/>
      <c r="M42" s="97">
        <f>SUM(M31:M41)</f>
        <v>80384</v>
      </c>
      <c r="N42" s="27"/>
      <c r="O42" s="22"/>
    </row>
    <row r="43" spans="2:15" x14ac:dyDescent="0.3">
      <c r="B43" s="24" t="s">
        <v>11</v>
      </c>
      <c r="C43" s="33">
        <f>ROUND((C41*C42),0)</f>
        <v>0</v>
      </c>
      <c r="D43" s="9"/>
      <c r="E43" s="9"/>
      <c r="F43" s="21"/>
      <c r="H43" s="14"/>
      <c r="I43" s="11"/>
      <c r="J43" s="22"/>
      <c r="K43" s="21"/>
      <c r="L43" s="27" t="s">
        <v>53</v>
      </c>
      <c r="M43" s="27"/>
      <c r="N43" s="27"/>
      <c r="O43" s="22"/>
    </row>
    <row r="44" spans="2:15" x14ac:dyDescent="0.3">
      <c r="B44" s="55"/>
      <c r="C44" s="19"/>
      <c r="D44" s="9"/>
      <c r="E44" s="9"/>
      <c r="F44" s="21"/>
      <c r="H44" s="14"/>
      <c r="I44" s="11"/>
      <c r="J44" s="22"/>
      <c r="K44" s="21"/>
    </row>
    <row r="45" spans="2:15" x14ac:dyDescent="0.3">
      <c r="C45" s="9" t="s">
        <v>92</v>
      </c>
      <c r="D45" s="9" t="s">
        <v>106</v>
      </c>
      <c r="E45" s="9"/>
      <c r="F45" s="21"/>
      <c r="H45" s="14"/>
      <c r="J45" s="65"/>
      <c r="K45" s="21"/>
    </row>
    <row r="46" spans="2:15" x14ac:dyDescent="0.3">
      <c r="B46" s="2" t="s">
        <v>17</v>
      </c>
      <c r="C46" s="18">
        <f>C4</f>
        <v>36910000</v>
      </c>
      <c r="D46" s="18">
        <f>C46</f>
        <v>36910000</v>
      </c>
      <c r="E46" s="18"/>
      <c r="F46" s="19"/>
      <c r="G46" s="19"/>
      <c r="H46" s="20"/>
      <c r="I46" s="67"/>
      <c r="K46" s="18"/>
    </row>
    <row r="47" spans="2:15" ht="33" x14ac:dyDescent="0.3">
      <c r="B47" s="2" t="s">
        <v>107</v>
      </c>
      <c r="C47" s="18">
        <f>L10</f>
        <v>36028938</v>
      </c>
      <c r="D47" s="18">
        <f>C47</f>
        <v>36028938</v>
      </c>
      <c r="E47" s="18"/>
      <c r="F47" s="19"/>
      <c r="G47" s="19"/>
      <c r="H47" s="20"/>
      <c r="K47" s="20"/>
    </row>
    <row r="48" spans="2:15" ht="33" x14ac:dyDescent="0.3">
      <c r="B48" s="2" t="s">
        <v>108</v>
      </c>
      <c r="C48" s="18"/>
      <c r="D48" s="18">
        <f>L26</f>
        <v>28617250</v>
      </c>
      <c r="E48" s="18"/>
      <c r="F48" s="19"/>
      <c r="G48" s="19"/>
      <c r="H48" s="20"/>
      <c r="K48" s="20"/>
    </row>
    <row r="49" spans="2:13" ht="33" x14ac:dyDescent="0.3">
      <c r="B49" s="2" t="s">
        <v>25</v>
      </c>
      <c r="C49" s="18">
        <f>C38</f>
        <v>0</v>
      </c>
      <c r="D49" s="18">
        <f>C49</f>
        <v>0</v>
      </c>
      <c r="E49" s="18"/>
      <c r="F49" s="19"/>
      <c r="G49" s="19"/>
      <c r="H49" s="20"/>
      <c r="I49" s="69"/>
      <c r="K49" s="20"/>
    </row>
    <row r="50" spans="2:13" x14ac:dyDescent="0.3">
      <c r="B50" s="2" t="s">
        <v>16</v>
      </c>
      <c r="C50" s="18">
        <f>C43</f>
        <v>0</v>
      </c>
      <c r="D50" s="18">
        <f>C50</f>
        <v>0</v>
      </c>
      <c r="E50" s="18"/>
      <c r="F50" s="19"/>
      <c r="G50" s="19"/>
      <c r="H50" s="20"/>
      <c r="K50" s="20"/>
    </row>
    <row r="51" spans="2:13" x14ac:dyDescent="0.3">
      <c r="B51" s="13" t="s">
        <v>12</v>
      </c>
      <c r="C51" s="93">
        <f>C47+C46</f>
        <v>72938938</v>
      </c>
      <c r="D51" s="93">
        <f>D48+D46+D47</f>
        <v>101556188</v>
      </c>
      <c r="E51" s="18"/>
      <c r="F51" s="18"/>
    </row>
    <row r="52" spans="2:13" x14ac:dyDescent="0.3">
      <c r="B52" s="13" t="s">
        <v>13</v>
      </c>
      <c r="C52" s="93">
        <f>ROUND((C51*0.9),0)</f>
        <v>65645044</v>
      </c>
      <c r="D52" s="93">
        <f>ROUND(D51*90%,0)</f>
        <v>91400569</v>
      </c>
      <c r="E52" s="18"/>
      <c r="F52" s="18"/>
      <c r="H52" s="41"/>
    </row>
    <row r="53" spans="2:13" hidden="1" x14ac:dyDescent="0.3">
      <c r="B53" s="2" t="s">
        <v>11</v>
      </c>
      <c r="C53" s="18">
        <f>C51*0.8</f>
        <v>58351150.400000006</v>
      </c>
      <c r="D53" s="34"/>
      <c r="E53" s="18"/>
      <c r="F53" s="18"/>
    </row>
    <row r="54" spans="2:13" hidden="1" x14ac:dyDescent="0.3">
      <c r="B54" s="13"/>
      <c r="C54" s="18">
        <f>ROUNDUP(C53,0)</f>
        <v>58351151</v>
      </c>
      <c r="D54" s="34"/>
      <c r="E54" s="18"/>
      <c r="F54" s="18"/>
    </row>
    <row r="55" spans="2:13" hidden="1" x14ac:dyDescent="0.3">
      <c r="B55" s="13"/>
      <c r="C55" s="18">
        <f>C54-C53</f>
        <v>0.59999999403953552</v>
      </c>
      <c r="D55" s="34"/>
      <c r="E55" s="18"/>
      <c r="F55" s="18"/>
    </row>
    <row r="56" spans="2:13" x14ac:dyDescent="0.3">
      <c r="B56" s="13" t="s">
        <v>14</v>
      </c>
      <c r="C56" s="93">
        <f>ROUND((C51*0.8),0)</f>
        <v>58351150</v>
      </c>
      <c r="D56" s="93">
        <f>ROUND(D51*80%,0)</f>
        <v>81244950</v>
      </c>
      <c r="E56" s="18"/>
      <c r="F56" s="18"/>
      <c r="H56" s="41"/>
    </row>
    <row r="57" spans="2:13" hidden="1" x14ac:dyDescent="0.3">
      <c r="B57" s="1" t="s">
        <v>11</v>
      </c>
      <c r="C57" s="93">
        <f>M33</f>
        <v>13780</v>
      </c>
      <c r="D57" s="34"/>
      <c r="E57" s="18"/>
      <c r="F57" s="18"/>
    </row>
    <row r="58" spans="2:13" hidden="1" x14ac:dyDescent="0.3">
      <c r="C58" s="18">
        <f>ROUNDUP(C57,0)</f>
        <v>13780</v>
      </c>
      <c r="D58" s="34"/>
      <c r="E58" s="18"/>
    </row>
    <row r="59" spans="2:13" hidden="1" x14ac:dyDescent="0.3">
      <c r="C59" s="18">
        <f>C58-C57</f>
        <v>0</v>
      </c>
      <c r="D59" s="34"/>
      <c r="E59" s="18"/>
    </row>
    <row r="60" spans="2:13" x14ac:dyDescent="0.3">
      <c r="B60" s="13" t="s">
        <v>19</v>
      </c>
      <c r="C60" s="93">
        <f>C47*85%</f>
        <v>30624597.300000001</v>
      </c>
      <c r="D60" s="93">
        <f>ROUND(D48*85%,0)</f>
        <v>24324663</v>
      </c>
      <c r="E60" s="18"/>
      <c r="M60" s="42"/>
    </row>
    <row r="61" spans="2:13" x14ac:dyDescent="0.3">
      <c r="M61" s="42"/>
    </row>
    <row r="62" spans="2:13" ht="33" x14ac:dyDescent="0.3">
      <c r="B62" s="13" t="s">
        <v>109</v>
      </c>
      <c r="M62" s="42"/>
    </row>
    <row r="63" spans="2:13" x14ac:dyDescent="0.3">
      <c r="K63" s="43"/>
      <c r="M63" s="42"/>
    </row>
    <row r="64" spans="2:13" x14ac:dyDescent="0.3">
      <c r="K64" s="43"/>
      <c r="M64" s="42"/>
    </row>
    <row r="65" spans="8:13" x14ac:dyDescent="0.3">
      <c r="H65" s="41"/>
      <c r="K65" s="43"/>
      <c r="M65" s="42"/>
    </row>
    <row r="66" spans="8:13" x14ac:dyDescent="0.3">
      <c r="K66" s="43"/>
      <c r="M66" s="42"/>
    </row>
    <row r="67" spans="8:13" x14ac:dyDescent="0.3">
      <c r="K67" s="43"/>
      <c r="M67" s="42"/>
    </row>
    <row r="68" spans="8:13" x14ac:dyDescent="0.3">
      <c r="K68" s="43"/>
      <c r="M68" s="42"/>
    </row>
    <row r="69" spans="8:13" x14ac:dyDescent="0.3">
      <c r="K69" s="43"/>
      <c r="M69" s="42"/>
    </row>
    <row r="81" spans="6:9" x14ac:dyDescent="0.3">
      <c r="F81" s="44"/>
      <c r="G81" s="44"/>
      <c r="H81" s="44"/>
      <c r="I81" s="13"/>
    </row>
    <row r="82" spans="6:9" x14ac:dyDescent="0.3">
      <c r="F82" s="42"/>
      <c r="G82" s="1"/>
      <c r="H82" s="42"/>
    </row>
    <row r="83" spans="6:9" x14ac:dyDescent="0.3">
      <c r="F83" s="42"/>
      <c r="G83" s="42"/>
      <c r="H83" s="45"/>
    </row>
    <row r="84" spans="6:9" x14ac:dyDescent="0.3">
      <c r="F84" s="42"/>
      <c r="G84" s="42"/>
      <c r="H84" s="42"/>
    </row>
    <row r="85" spans="6:9" x14ac:dyDescent="0.3">
      <c r="F85" s="42"/>
      <c r="G85" s="46"/>
      <c r="H85" s="42"/>
    </row>
    <row r="86" spans="6:9" x14ac:dyDescent="0.3">
      <c r="F86" s="42"/>
      <c r="G86" s="42"/>
      <c r="H86" s="42"/>
    </row>
    <row r="87" spans="6:9" x14ac:dyDescent="0.3">
      <c r="F87" s="42"/>
      <c r="G87" s="42"/>
      <c r="H87" s="42"/>
    </row>
    <row r="88" spans="6:9" x14ac:dyDescent="0.3">
      <c r="F88" s="42"/>
      <c r="G88" s="42"/>
      <c r="H88" s="42"/>
    </row>
    <row r="89" spans="6:9" x14ac:dyDescent="0.3">
      <c r="F89" s="42"/>
      <c r="G89" s="42"/>
      <c r="H89" s="42"/>
    </row>
    <row r="90" spans="6:9" x14ac:dyDescent="0.3">
      <c r="F90" s="42"/>
      <c r="G90" s="42"/>
      <c r="H90" s="42"/>
    </row>
    <row r="91" spans="6:9" x14ac:dyDescent="0.3">
      <c r="F91" s="42"/>
      <c r="G91" s="42"/>
      <c r="H91" s="42"/>
    </row>
    <row r="97" spans="6:6" x14ac:dyDescent="0.3">
      <c r="F97" s="47"/>
    </row>
    <row r="98" spans="6:6" x14ac:dyDescent="0.3">
      <c r="F98" s="47"/>
    </row>
    <row r="99" spans="6:6" x14ac:dyDescent="0.3">
      <c r="F99" s="47"/>
    </row>
    <row r="100" spans="6:6" x14ac:dyDescent="0.3">
      <c r="F100" s="47"/>
    </row>
    <row r="101" spans="6:6" x14ac:dyDescent="0.3">
      <c r="F101" s="47"/>
    </row>
    <row r="102" spans="6:6" x14ac:dyDescent="0.3">
      <c r="F102" s="47"/>
    </row>
    <row r="103" spans="6:6" x14ac:dyDescent="0.3">
      <c r="F103" s="47"/>
    </row>
    <row r="104" spans="6:6" x14ac:dyDescent="0.3">
      <c r="F104" s="47"/>
    </row>
    <row r="105" spans="6:6" x14ac:dyDescent="0.3">
      <c r="F105" s="47"/>
    </row>
    <row r="106" spans="6:6" x14ac:dyDescent="0.3">
      <c r="F106" s="47"/>
    </row>
  </sheetData>
  <mergeCells count="3">
    <mergeCell ref="B40:C40"/>
    <mergeCell ref="B35:C35"/>
    <mergeCell ref="F29:G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7"/>
  <sheetViews>
    <sheetView topLeftCell="A7" zoomScale="85" zoomScaleNormal="85" workbookViewId="0">
      <selection activeCell="M38" sqref="M38"/>
    </sheetView>
  </sheetViews>
  <sheetFormatPr defaultRowHeight="15" x14ac:dyDescent="0.25"/>
  <cols>
    <col min="2" max="2" width="38" customWidth="1"/>
    <col min="3" max="3" width="17.5703125" customWidth="1"/>
    <col min="6" max="6" width="34" customWidth="1"/>
    <col min="7" max="7" width="9.85546875" customWidth="1"/>
    <col min="8" max="8" width="8.28515625" customWidth="1"/>
    <col min="9" max="9" width="14.5703125" style="71" customWidth="1"/>
    <col min="10" max="10" width="9.140625" style="78"/>
    <col min="11" max="11" width="6.42578125" customWidth="1"/>
    <col min="12" max="12" width="5.7109375" style="78" customWidth="1"/>
    <col min="13" max="13" width="26.5703125" customWidth="1"/>
    <col min="14" max="14" width="25" customWidth="1"/>
    <col min="15" max="15" width="16" customWidth="1"/>
    <col min="16" max="16" width="9.28515625" bestFit="1" customWidth="1"/>
    <col min="17" max="17" width="14.42578125" bestFit="1" customWidth="1"/>
  </cols>
  <sheetData>
    <row r="2" spans="2:16" ht="16.5" x14ac:dyDescent="0.25">
      <c r="B2" s="61" t="s">
        <v>89</v>
      </c>
      <c r="C2" s="16"/>
    </row>
    <row r="3" spans="2:16" ht="16.5" x14ac:dyDescent="0.3">
      <c r="B3" s="12"/>
      <c r="C3" s="70" t="s">
        <v>69</v>
      </c>
      <c r="G3" s="61"/>
      <c r="H3" s="61"/>
      <c r="I3" s="61"/>
      <c r="J3" s="79"/>
      <c r="K3" s="61"/>
      <c r="L3" s="79"/>
    </row>
    <row r="4" spans="2:16" ht="16.5" x14ac:dyDescent="0.25">
      <c r="B4" s="60" t="s">
        <v>26</v>
      </c>
      <c r="C4" s="29">
        <v>28200</v>
      </c>
    </row>
    <row r="5" spans="2:16" ht="16.5" x14ac:dyDescent="0.25">
      <c r="B5" s="60" t="s">
        <v>27</v>
      </c>
      <c r="C5" s="29">
        <v>2830</v>
      </c>
    </row>
    <row r="6" spans="2:16" ht="16.5" x14ac:dyDescent="0.25">
      <c r="B6" s="60" t="s">
        <v>28</v>
      </c>
      <c r="C6" s="29">
        <v>1415</v>
      </c>
    </row>
    <row r="7" spans="2:16" ht="16.5" x14ac:dyDescent="0.25">
      <c r="B7" s="60" t="s">
        <v>29</v>
      </c>
      <c r="C7" s="29">
        <v>5500</v>
      </c>
      <c r="F7" s="77" t="s">
        <v>86</v>
      </c>
      <c r="G7" s="74"/>
    </row>
    <row r="8" spans="2:16" ht="16.5" x14ac:dyDescent="0.25">
      <c r="B8" s="62" t="s">
        <v>30</v>
      </c>
      <c r="C8" s="63">
        <f>C4-C5-C6-C7</f>
        <v>18455</v>
      </c>
      <c r="L8" s="80"/>
    </row>
    <row r="9" spans="2:16" ht="16.5" x14ac:dyDescent="0.25">
      <c r="B9" s="11"/>
      <c r="C9" s="16"/>
    </row>
    <row r="10" spans="2:16" ht="16.5" x14ac:dyDescent="0.3">
      <c r="B10" s="64" t="s">
        <v>31</v>
      </c>
      <c r="C10" s="16"/>
      <c r="F10" s="69" t="s">
        <v>62</v>
      </c>
      <c r="G10" s="69"/>
      <c r="I10" s="73" t="s">
        <v>63</v>
      </c>
      <c r="M10" s="88" t="s">
        <v>93</v>
      </c>
      <c r="N10" s="88" t="s">
        <v>94</v>
      </c>
      <c r="O10" s="88" t="s">
        <v>95</v>
      </c>
      <c r="P10" s="88" t="s">
        <v>10</v>
      </c>
    </row>
    <row r="11" spans="2:16" ht="16.5" x14ac:dyDescent="0.3">
      <c r="B11" s="11" t="s">
        <v>32</v>
      </c>
      <c r="C11" s="29">
        <v>5591.47</v>
      </c>
      <c r="F11" s="1" t="s">
        <v>74</v>
      </c>
      <c r="G11" s="1">
        <f>9*14</f>
        <v>126</v>
      </c>
      <c r="H11" s="1">
        <v>36</v>
      </c>
      <c r="I11" s="34">
        <f>G11*H11</f>
        <v>4536</v>
      </c>
      <c r="J11" s="80" t="s">
        <v>96</v>
      </c>
      <c r="L11" s="81"/>
      <c r="M11" s="71">
        <f>I11</f>
        <v>4536</v>
      </c>
      <c r="N11" s="75">
        <f>C11-I11</f>
        <v>1055.4700000000003</v>
      </c>
    </row>
    <row r="12" spans="2:16" ht="16.5" x14ac:dyDescent="0.3">
      <c r="B12" s="11" t="s">
        <v>33</v>
      </c>
      <c r="C12" s="29">
        <v>135.36000000000001</v>
      </c>
      <c r="F12" s="1" t="s">
        <v>70</v>
      </c>
      <c r="G12" s="1">
        <v>18</v>
      </c>
      <c r="H12" s="1">
        <v>8.8000000000000007</v>
      </c>
      <c r="I12" s="34">
        <f t="shared" ref="I12:I16" si="0">G12*H12</f>
        <v>158.4</v>
      </c>
      <c r="J12" s="80"/>
      <c r="L12" s="82"/>
      <c r="M12" s="75"/>
      <c r="N12" s="71">
        <f>I12</f>
        <v>158.4</v>
      </c>
    </row>
    <row r="13" spans="2:16" ht="16.5" x14ac:dyDescent="0.3">
      <c r="B13" s="11" t="s">
        <v>99</v>
      </c>
      <c r="C13" s="60">
        <f>317.2/2</f>
        <v>158.6</v>
      </c>
      <c r="F13" s="1" t="s">
        <v>71</v>
      </c>
      <c r="G13" s="1">
        <v>26.79</v>
      </c>
      <c r="H13" s="1">
        <v>17.170000000000002</v>
      </c>
      <c r="I13" s="34">
        <f t="shared" si="0"/>
        <v>459.98430000000002</v>
      </c>
      <c r="J13" s="80"/>
      <c r="L13" s="82"/>
      <c r="N13" s="71">
        <f>I13</f>
        <v>459.98430000000002</v>
      </c>
    </row>
    <row r="14" spans="2:16" ht="16.5" x14ac:dyDescent="0.3">
      <c r="B14" s="11" t="s">
        <v>99</v>
      </c>
      <c r="C14" s="60">
        <f>C13</f>
        <v>158.6</v>
      </c>
      <c r="F14" s="1"/>
      <c r="G14" s="1"/>
      <c r="H14" s="1"/>
      <c r="I14" s="34"/>
      <c r="J14" s="80"/>
      <c r="L14" s="82"/>
    </row>
    <row r="15" spans="2:16" ht="16.5" x14ac:dyDescent="0.3">
      <c r="B15" s="11" t="s">
        <v>34</v>
      </c>
      <c r="C15" s="22">
        <v>133.63999999999999</v>
      </c>
      <c r="F15" s="1" t="s">
        <v>72</v>
      </c>
      <c r="G15" s="1">
        <v>19.5</v>
      </c>
      <c r="H15" s="1">
        <v>64.38</v>
      </c>
      <c r="I15" s="34">
        <f t="shared" si="0"/>
        <v>1255.4099999999999</v>
      </c>
      <c r="J15" s="80"/>
      <c r="L15" s="82"/>
      <c r="N15" s="71">
        <f>I15</f>
        <v>1255.4099999999999</v>
      </c>
    </row>
    <row r="16" spans="2:16" ht="16.5" x14ac:dyDescent="0.3">
      <c r="B16" s="11" t="s">
        <v>35</v>
      </c>
      <c r="C16" s="22">
        <v>14.96</v>
      </c>
      <c r="F16" s="1" t="s">
        <v>84</v>
      </c>
      <c r="G16" s="1">
        <v>16.510000000000002</v>
      </c>
      <c r="H16" s="1">
        <v>20.149999999999999</v>
      </c>
      <c r="I16" s="34">
        <f t="shared" si="0"/>
        <v>332.67650000000003</v>
      </c>
      <c r="J16" s="80"/>
      <c r="L16" s="82"/>
      <c r="N16" s="71">
        <f>I16</f>
        <v>332.67650000000003</v>
      </c>
    </row>
    <row r="17" spans="2:15" ht="16.5" x14ac:dyDescent="0.3">
      <c r="B17" s="11" t="s">
        <v>36</v>
      </c>
      <c r="C17" s="22">
        <v>8</v>
      </c>
      <c r="F17" s="1"/>
      <c r="G17" s="1"/>
      <c r="H17" s="1"/>
      <c r="I17" s="41"/>
      <c r="J17" s="80"/>
    </row>
    <row r="18" spans="2:15" ht="16.5" x14ac:dyDescent="0.3">
      <c r="B18" s="11" t="s">
        <v>37</v>
      </c>
      <c r="C18" s="22">
        <v>13.32</v>
      </c>
      <c r="J18" s="89"/>
    </row>
    <row r="19" spans="2:15" ht="24.75" customHeight="1" x14ac:dyDescent="0.3">
      <c r="B19" s="69" t="s">
        <v>67</v>
      </c>
      <c r="C19" s="65">
        <f>SUM(C11:C18)</f>
        <v>6213.9500000000007</v>
      </c>
      <c r="F19" s="1"/>
      <c r="G19" s="1"/>
      <c r="H19" s="1"/>
      <c r="I19" s="41"/>
      <c r="J19" s="80"/>
    </row>
    <row r="20" spans="2:15" ht="16.5" x14ac:dyDescent="0.3">
      <c r="B20" s="67"/>
      <c r="C20" s="65">
        <f>C19*10.764</f>
        <v>66886.957800000004</v>
      </c>
      <c r="D20" s="68" t="s">
        <v>68</v>
      </c>
      <c r="F20" s="1" t="s">
        <v>75</v>
      </c>
      <c r="G20" s="1">
        <v>36.47</v>
      </c>
      <c r="H20" s="1">
        <v>5.5</v>
      </c>
      <c r="I20" s="34">
        <f>G20*H20</f>
        <v>200.58499999999998</v>
      </c>
      <c r="J20" s="80" t="s">
        <v>98</v>
      </c>
      <c r="M20">
        <v>158.6</v>
      </c>
      <c r="N20" s="71">
        <f>I20-C13</f>
        <v>41.984999999999985</v>
      </c>
    </row>
    <row r="21" spans="2:15" ht="16.5" x14ac:dyDescent="0.3">
      <c r="B21" s="1"/>
      <c r="C21" s="7"/>
      <c r="F21" s="1" t="s">
        <v>76</v>
      </c>
      <c r="G21" s="1">
        <v>36.51</v>
      </c>
      <c r="H21" s="1">
        <v>4.55</v>
      </c>
      <c r="I21" s="41">
        <f>G21*H21</f>
        <v>166.12049999999999</v>
      </c>
      <c r="J21" s="80"/>
      <c r="K21" s="74"/>
      <c r="L21" s="74"/>
      <c r="M21" s="74"/>
      <c r="N21" s="74"/>
      <c r="O21" s="90">
        <f>I21</f>
        <v>166.12049999999999</v>
      </c>
    </row>
    <row r="22" spans="2:15" ht="16.5" x14ac:dyDescent="0.3">
      <c r="F22" s="1" t="s">
        <v>77</v>
      </c>
      <c r="G22" s="1">
        <v>32.65</v>
      </c>
      <c r="H22" s="1">
        <v>6.35</v>
      </c>
      <c r="I22" s="41">
        <f>G22*H22</f>
        <v>207.32749999999999</v>
      </c>
      <c r="J22" s="80"/>
      <c r="K22" s="74"/>
      <c r="L22" s="74"/>
      <c r="M22" s="74"/>
      <c r="N22" s="74"/>
      <c r="O22" s="90">
        <f>I22</f>
        <v>207.32749999999999</v>
      </c>
    </row>
    <row r="23" spans="2:15" ht="16.5" x14ac:dyDescent="0.3">
      <c r="F23" s="1" t="s">
        <v>78</v>
      </c>
      <c r="G23" s="1">
        <v>3.54</v>
      </c>
      <c r="H23" s="1">
        <v>3.6</v>
      </c>
      <c r="I23" s="41">
        <f t="shared" ref="I23:I25" si="1">G23*H23</f>
        <v>12.744</v>
      </c>
      <c r="J23" s="80"/>
      <c r="K23" s="74"/>
      <c r="L23" s="74"/>
      <c r="M23" s="74"/>
      <c r="N23" s="74"/>
      <c r="O23" s="90">
        <f>I23</f>
        <v>12.744</v>
      </c>
    </row>
    <row r="24" spans="2:15" ht="16.5" x14ac:dyDescent="0.3">
      <c r="F24" s="1" t="s">
        <v>79</v>
      </c>
      <c r="G24" s="1">
        <v>2.8</v>
      </c>
      <c r="H24" s="1">
        <v>3.6</v>
      </c>
      <c r="I24" s="41">
        <f t="shared" si="1"/>
        <v>10.08</v>
      </c>
      <c r="J24" s="80"/>
      <c r="K24" s="74"/>
      <c r="L24" s="74"/>
      <c r="M24" s="74"/>
      <c r="N24" s="74"/>
      <c r="O24" s="90">
        <f>I24</f>
        <v>10.08</v>
      </c>
    </row>
    <row r="25" spans="2:15" ht="16.5" x14ac:dyDescent="0.3">
      <c r="F25" s="1" t="s">
        <v>80</v>
      </c>
      <c r="G25" s="1">
        <v>6.27</v>
      </c>
      <c r="H25" s="1">
        <v>3.6</v>
      </c>
      <c r="I25" s="41">
        <f t="shared" si="1"/>
        <v>22.571999999999999</v>
      </c>
      <c r="J25" s="80"/>
      <c r="K25" s="74"/>
      <c r="L25" s="74"/>
      <c r="M25" s="74"/>
      <c r="N25" s="74"/>
      <c r="O25" s="90">
        <f>I25</f>
        <v>22.571999999999999</v>
      </c>
    </row>
    <row r="26" spans="2:15" x14ac:dyDescent="0.25">
      <c r="J26" s="80"/>
    </row>
    <row r="27" spans="2:15" x14ac:dyDescent="0.25">
      <c r="J27" s="80"/>
    </row>
    <row r="28" spans="2:15" ht="15.75" x14ac:dyDescent="0.25">
      <c r="F28" s="72" t="s">
        <v>83</v>
      </c>
      <c r="J28" s="80"/>
    </row>
    <row r="29" spans="2:15" x14ac:dyDescent="0.25">
      <c r="F29" t="s">
        <v>81</v>
      </c>
      <c r="G29">
        <v>10.67</v>
      </c>
      <c r="H29">
        <v>14.43</v>
      </c>
      <c r="I29" s="71">
        <f>G29*H29</f>
        <v>153.96809999999999</v>
      </c>
      <c r="J29" s="80" t="s">
        <v>97</v>
      </c>
      <c r="M29" s="75">
        <f>135.36</f>
        <v>135.36000000000001</v>
      </c>
      <c r="N29" s="71">
        <v>172.58</v>
      </c>
    </row>
    <row r="30" spans="2:15" x14ac:dyDescent="0.25">
      <c r="F30" t="s">
        <v>82</v>
      </c>
      <c r="G30">
        <v>10.67</v>
      </c>
      <c r="H30">
        <v>14.43</v>
      </c>
      <c r="I30" s="71">
        <f>G30*H30</f>
        <v>153.96809999999999</v>
      </c>
      <c r="J30" s="80"/>
      <c r="M30">
        <f>M29*10.764</f>
        <v>1457.01504</v>
      </c>
    </row>
    <row r="32" spans="2:15" x14ac:dyDescent="0.25">
      <c r="G32" t="s">
        <v>67</v>
      </c>
      <c r="I32" s="76">
        <f>I29+I30</f>
        <v>307.93619999999999</v>
      </c>
      <c r="L32" s="82"/>
    </row>
    <row r="35" spans="2:16" ht="16.5" x14ac:dyDescent="0.3">
      <c r="F35" s="1" t="s">
        <v>64</v>
      </c>
      <c r="G35" s="1"/>
      <c r="H35" s="1"/>
      <c r="I35" s="71">
        <f>7.83*4.88</f>
        <v>38.2104</v>
      </c>
      <c r="N35" s="71">
        <f>I35</f>
        <v>38.2104</v>
      </c>
    </row>
    <row r="36" spans="2:16" ht="16.5" x14ac:dyDescent="0.3">
      <c r="F36" s="1" t="s">
        <v>65</v>
      </c>
      <c r="G36" s="1"/>
      <c r="H36" s="1"/>
      <c r="I36" s="71">
        <f>9.34*4.57</f>
        <v>42.683800000000005</v>
      </c>
      <c r="N36" s="71">
        <f>I36</f>
        <v>42.683800000000005</v>
      </c>
    </row>
    <row r="37" spans="2:16" ht="16.5" x14ac:dyDescent="0.3">
      <c r="F37" s="1" t="s">
        <v>66</v>
      </c>
      <c r="G37" s="1"/>
      <c r="H37" s="1"/>
      <c r="I37" s="71">
        <f>4.35*4.8</f>
        <v>20.88</v>
      </c>
      <c r="N37" s="71">
        <f>I37</f>
        <v>20.88</v>
      </c>
    </row>
    <row r="38" spans="2:16" ht="16.5" x14ac:dyDescent="0.3">
      <c r="B38" s="1"/>
      <c r="C38" s="7"/>
      <c r="F38" s="1" t="s">
        <v>87</v>
      </c>
      <c r="G38" s="1"/>
      <c r="H38" s="1"/>
      <c r="I38" s="71">
        <f>52.9*8.53</f>
        <v>451.23699999999997</v>
      </c>
      <c r="N38" s="71">
        <f>I38</f>
        <v>451.23699999999997</v>
      </c>
    </row>
    <row r="39" spans="2:16" ht="16.5" x14ac:dyDescent="0.3">
      <c r="F39" s="1" t="s">
        <v>73</v>
      </c>
      <c r="I39" s="71">
        <f>11.15*6.65</f>
        <v>74.147500000000008</v>
      </c>
      <c r="N39" s="71">
        <f>I39</f>
        <v>74.147500000000008</v>
      </c>
    </row>
    <row r="40" spans="2:16" x14ac:dyDescent="0.25">
      <c r="G40" s="68" t="s">
        <v>88</v>
      </c>
      <c r="H40" s="68"/>
      <c r="I40" s="76">
        <f ca="1">SUM(I35:I40)</f>
        <v>627.15869999999995</v>
      </c>
    </row>
    <row r="41" spans="2:16" x14ac:dyDescent="0.25">
      <c r="J41" s="80"/>
      <c r="M41" s="76">
        <f>SUM(M11:M40)</f>
        <v>6286.9750400000003</v>
      </c>
      <c r="N41" s="91">
        <f>SUM(N11:N40)</f>
        <v>4103.6644999999999</v>
      </c>
      <c r="O41" s="76">
        <f>O21+O22+O23+O24+O25</f>
        <v>418.84399999999999</v>
      </c>
      <c r="P41" s="68"/>
    </row>
    <row r="43" spans="2:16" ht="16.5" x14ac:dyDescent="0.3">
      <c r="F43" s="7"/>
      <c r="G43" s="7"/>
      <c r="H43" s="7"/>
      <c r="I43" s="41"/>
    </row>
    <row r="44" spans="2:16" ht="15.75" x14ac:dyDescent="0.25">
      <c r="F44" s="83" t="s">
        <v>90</v>
      </c>
      <c r="G44" s="83"/>
      <c r="H44" s="83"/>
      <c r="I44" s="84">
        <f ca="1">I40+I32+I20+I16+I15+I13+I12+I11</f>
        <v>7878.1507000000001</v>
      </c>
      <c r="J44" s="86" t="s">
        <v>85</v>
      </c>
    </row>
    <row r="45" spans="2:16" ht="15.75" x14ac:dyDescent="0.25">
      <c r="I45" s="85">
        <f ca="1">I44*10.764</f>
        <v>84800.414134799998</v>
      </c>
      <c r="J45" s="87" t="s">
        <v>91</v>
      </c>
    </row>
    <row r="47" spans="2:16" x14ac:dyDescent="0.25">
      <c r="F47" t="s"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Area calculation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2023-09-27T06:10:55Z</dcterms:modified>
</cp:coreProperties>
</file>