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9" i="1" l="1"/>
  <c r="M18" i="1"/>
  <c r="M17" i="1"/>
  <c r="N15" i="1"/>
  <c r="M41" i="1" l="1"/>
  <c r="M37" i="1"/>
  <c r="M35" i="1"/>
  <c r="M34" i="1"/>
  <c r="N30" i="1"/>
  <c r="N37" i="1"/>
  <c r="I33" i="1"/>
  <c r="I31" i="1"/>
  <c r="M30" i="1"/>
  <c r="M20" i="1"/>
  <c r="M16" i="1"/>
  <c r="M13" i="1"/>
  <c r="M12" i="1"/>
  <c r="M11" i="1"/>
  <c r="M10" i="1"/>
  <c r="M9" i="1"/>
  <c r="M8" i="1"/>
  <c r="N13" i="1"/>
  <c r="C39" i="1"/>
  <c r="C29" i="1"/>
  <c r="C30" i="1"/>
  <c r="C31" i="1"/>
  <c r="C32" i="1"/>
  <c r="C33" i="1"/>
  <c r="C34" i="1"/>
  <c r="C35" i="1"/>
  <c r="C36" i="1"/>
  <c r="C37" i="1"/>
  <c r="C38" i="1"/>
  <c r="C28" i="1"/>
  <c r="D9" i="1"/>
  <c r="Q3" i="1"/>
  <c r="P3" i="1"/>
  <c r="M6" i="1"/>
  <c r="M4" i="1"/>
  <c r="M3" i="1"/>
  <c r="F4" i="1" l="1"/>
  <c r="F3" i="1"/>
  <c r="F5" i="1"/>
  <c r="I16" i="1"/>
  <c r="B10" i="1"/>
  <c r="G16" i="1"/>
  <c r="F21" i="1"/>
  <c r="F23" i="1"/>
  <c r="I23" i="1" s="1"/>
  <c r="E22" i="1"/>
  <c r="I22" i="1" s="1"/>
  <c r="E15" i="1"/>
  <c r="I15" i="1" s="1"/>
  <c r="E16" i="1"/>
  <c r="E21" i="1"/>
  <c r="I21" i="1" s="1"/>
  <c r="F14" i="1"/>
  <c r="I14" i="1" s="1"/>
  <c r="H84" i="1"/>
  <c r="B84" i="1"/>
  <c r="B86" i="1" s="1"/>
  <c r="I17" i="1" l="1"/>
  <c r="J78" i="1" l="1"/>
  <c r="L78" i="1" s="1"/>
  <c r="M78" i="1" s="1"/>
  <c r="E67" i="1"/>
  <c r="E62" i="1"/>
  <c r="B69" i="1" l="1"/>
  <c r="B71" i="1" s="1"/>
  <c r="A66" i="1"/>
</calcChain>
</file>

<file path=xl/sharedStrings.xml><?xml version="1.0" encoding="utf-8"?>
<sst xmlns="http://schemas.openxmlformats.org/spreadsheetml/2006/main" count="84" uniqueCount="56">
  <si>
    <t>17.11.2017</t>
  </si>
  <si>
    <t>Carpet</t>
  </si>
  <si>
    <t>BU</t>
  </si>
  <si>
    <t>age of the building</t>
  </si>
  <si>
    <t>Measured / Society Record</t>
  </si>
  <si>
    <t>CA</t>
  </si>
  <si>
    <t>BA</t>
  </si>
  <si>
    <t>Rate</t>
  </si>
  <si>
    <t>Value</t>
  </si>
  <si>
    <t>Same client Previous valuation report provided by bank</t>
  </si>
  <si>
    <t>31.12.2020</t>
  </si>
  <si>
    <t>Our Previous report</t>
  </si>
  <si>
    <t>Area</t>
  </si>
  <si>
    <t>15.06.2015</t>
  </si>
  <si>
    <t>M Tech Services LLP</t>
  </si>
  <si>
    <t>30.12.2020</t>
  </si>
  <si>
    <t>M C Punjwani</t>
  </si>
  <si>
    <t>Area considered for Valuation</t>
  </si>
  <si>
    <t>Vastukala</t>
  </si>
  <si>
    <t>15.11.2017</t>
  </si>
  <si>
    <t>Valuer Name</t>
  </si>
  <si>
    <t>Date</t>
  </si>
  <si>
    <t>06.03.2020</t>
  </si>
  <si>
    <t>Measured Carpet</t>
  </si>
  <si>
    <t>18°57'03.7"N 72°47'44.6"E</t>
  </si>
  <si>
    <t>18.951016, 72.795713</t>
  </si>
  <si>
    <t>Price Indicator</t>
  </si>
  <si>
    <t>SA</t>
  </si>
  <si>
    <t>ROC</t>
  </si>
  <si>
    <t>ROB</t>
  </si>
  <si>
    <t>ROS</t>
  </si>
  <si>
    <t>850 + 20% Loding = 1020 BU Area</t>
  </si>
  <si>
    <t>04.11.2023</t>
  </si>
  <si>
    <t>BU (20% Loading)</t>
  </si>
  <si>
    <t>AVG</t>
  </si>
  <si>
    <t>850 (Measured Carpet)</t>
  </si>
  <si>
    <t>837 (As per Document)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</si>
  <si>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</si>
  <si>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</si>
  <si>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</si>
  <si>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</si>
  <si>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</si>
  <si>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</si>
  <si>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</si>
  <si>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</si>
  <si>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</si>
  <si>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</si>
  <si>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</si>
  <si>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 / RV</t>
  </si>
  <si>
    <t>RV</t>
  </si>
  <si>
    <t>DV</t>
  </si>
  <si>
    <t>IV</t>
  </si>
  <si>
    <t>Rental Value</t>
  </si>
  <si>
    <t>Guideline Rate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</si>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</sst>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 * #,##0_ ;_ * \-#,##0_ ;_ * &quot;-&quot;??_ ;_ @_ "/>
    <numFmt numFmtId="165" formatCode="_ * #,##0_ ;_ * \-#,##0_ ;_ * &quot;-&quot;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rgb="FF202124"/>
      <name val="Arial"/>
      <family val="2"/>
    </font>
    <font>
      <b/>
      <sz val="10"/>
      <color rgb="FF202124"/>
      <name val="Arial"/>
      <family val="2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40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0" fillId="2" borderId="0" xfId="0" applyFill="1" applyAlignment="1">
      <alignment wrapText="1"/>
    </xf>
    <xf numFmtId="0" fontId="3" fillId="2" borderId="0" xfId="0" applyFont="1" applyFill="1"/>
    <xf numFmtId="0" fontId="0" fillId="0" borderId="1" xfId="0" applyBorder="1"/>
    <xf numFmtId="43" fontId="0" fillId="0" borderId="0" xfId="1" applyFont="1"/>
    <xf numFmtId="43" fontId="5" fillId="0" borderId="0" xfId="1" applyFont="1"/>
    <xf numFmtId="0" fontId="0" fillId="3" borderId="0" xfId="0" applyFill="1"/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43" fontId="0" fillId="0" borderId="1" xfId="1" applyFont="1" applyBorder="1"/>
    <xf numFmtId="164" fontId="0" fillId="0" borderId="1" xfId="1" applyNumberFormat="1" applyFont="1" applyBorder="1"/>
    <xf numFmtId="0" fontId="5" fillId="0" borderId="1" xfId="0" applyFont="1" applyBorder="1"/>
    <xf numFmtId="165" fontId="0" fillId="0" borderId="0" xfId="0" applyNumberFormat="1"/>
    <xf numFmtId="43" fontId="0" fillId="0" borderId="2" xfId="1" applyFont="1" applyFill="1" applyBorder="1"/>
    <xf numFmtId="43" fontId="0" fillId="0" borderId="0" xfId="0" applyNumberFormat="1"/>
    <xf numFmtId="0" fontId="0" fillId="0" borderId="1" xfId="0" applyFill="1" applyBorder="1"/>
    <xf numFmtId="43" fontId="0" fillId="0" borderId="1" xfId="1" applyFont="1" applyFill="1" applyBorder="1"/>
    <xf numFmtId="164" fontId="0" fillId="0" borderId="1" xfId="1" applyNumberFormat="1" applyFont="1" applyFill="1" applyBorder="1"/>
    <xf numFmtId="0" fontId="0" fillId="0" borderId="0" xfId="0" applyFill="1"/>
    <xf numFmtId="165" fontId="0" fillId="0" borderId="0" xfId="0" applyNumberFormat="1" applyFill="1"/>
    <xf numFmtId="0" fontId="8" fillId="0" borderId="1" xfId="0" applyFont="1" applyBorder="1"/>
    <xf numFmtId="43" fontId="9" fillId="0" borderId="1" xfId="1" applyFont="1" applyFill="1" applyBorder="1"/>
    <xf numFmtId="0" fontId="8" fillId="0" borderId="1" xfId="0" applyFont="1" applyBorder="1" applyAlignment="1">
      <alignment wrapText="1"/>
    </xf>
    <xf numFmtId="0" fontId="9" fillId="0" borderId="1" xfId="0" applyFont="1" applyBorder="1"/>
    <xf numFmtId="10" fontId="9" fillId="0" borderId="1" xfId="0" applyNumberFormat="1" applyFont="1" applyBorder="1"/>
    <xf numFmtId="0" fontId="8" fillId="2" borderId="1" xfId="0" applyFont="1" applyFill="1" applyBorder="1"/>
    <xf numFmtId="0" fontId="9" fillId="2" borderId="1" xfId="0" applyFont="1" applyFill="1" applyBorder="1"/>
    <xf numFmtId="43" fontId="9" fillId="2" borderId="1" xfId="0" applyNumberFormat="1" applyFont="1" applyFill="1" applyBorder="1"/>
    <xf numFmtId="0" fontId="8" fillId="0" borderId="1" xfId="0" applyFont="1" applyFill="1" applyBorder="1"/>
    <xf numFmtId="43" fontId="9" fillId="0" borderId="1" xfId="0" applyNumberFormat="1" applyFont="1" applyFill="1" applyBorder="1"/>
    <xf numFmtId="0" fontId="9" fillId="0" borderId="1" xfId="0" applyFont="1" applyFill="1" applyBorder="1"/>
    <xf numFmtId="0" fontId="8" fillId="0" borderId="3" xfId="0" applyFont="1" applyFill="1" applyBorder="1"/>
    <xf numFmtId="43" fontId="8" fillId="0" borderId="0" xfId="1" applyFont="1" applyFill="1"/>
    <xf numFmtId="0" fontId="0" fillId="0" borderId="1" xfId="0" applyBorder="1" applyAlignment="1">
      <alignment horizontal="center" wrapText="1"/>
    </xf>
    <xf numFmtId="165" fontId="0" fillId="3" borderId="0" xfId="0" applyNumberFormat="1" applyFill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22</xdr:col>
      <xdr:colOff>506512</xdr:colOff>
      <xdr:row>14</xdr:row>
      <xdr:rowOff>77099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12088912" cy="64397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19</xdr:col>
      <xdr:colOff>163330</xdr:colOff>
      <xdr:row>48</xdr:row>
      <xdr:rowOff>172325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7375" y="6738938"/>
          <a:ext cx="10069330" cy="626832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49</xdr:col>
      <xdr:colOff>207936</xdr:colOff>
      <xdr:row>73</xdr:row>
      <xdr:rowOff>166686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97250" y="0"/>
          <a:ext cx="14447811" cy="17764124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0</xdr:row>
      <xdr:rowOff>0</xdr:rowOff>
    </xdr:from>
    <xdr:to>
      <xdr:col>89</xdr:col>
      <xdr:colOff>392255</xdr:colOff>
      <xdr:row>15</xdr:row>
      <xdr:rowOff>96181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62000" y="0"/>
          <a:ext cx="12393755" cy="6668431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21</xdr:row>
      <xdr:rowOff>0</xdr:rowOff>
    </xdr:from>
    <xdr:to>
      <xdr:col>89</xdr:col>
      <xdr:colOff>306518</xdr:colOff>
      <xdr:row>58</xdr:row>
      <xdr:rowOff>20036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62000" y="7715250"/>
          <a:ext cx="12308018" cy="7068536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65</xdr:row>
      <xdr:rowOff>0</xdr:rowOff>
    </xdr:from>
    <xdr:to>
      <xdr:col>86</xdr:col>
      <xdr:colOff>144331</xdr:colOff>
      <xdr:row>96</xdr:row>
      <xdr:rowOff>181825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862000" y="16097250"/>
          <a:ext cx="10431331" cy="6087325"/>
        </a:xfrm>
        <a:prstGeom prst="rect">
          <a:avLst/>
        </a:prstGeom>
      </xdr:spPr>
    </xdr:pic>
    <xdr:clientData/>
  </xdr:twoCellAnchor>
  <xdr:twoCellAnchor editAs="oneCell">
    <xdr:from>
      <xdr:col>69</xdr:col>
      <xdr:colOff>0</xdr:colOff>
      <xdr:row>104</xdr:row>
      <xdr:rowOff>0</xdr:rowOff>
    </xdr:from>
    <xdr:to>
      <xdr:col>95</xdr:col>
      <xdr:colOff>11600</xdr:colOff>
      <xdr:row>142</xdr:row>
      <xdr:rowOff>48642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33500" y="23526750"/>
          <a:ext cx="14870600" cy="7287642"/>
        </a:xfrm>
        <a:prstGeom prst="rect">
          <a:avLst/>
        </a:prstGeom>
      </xdr:spPr>
    </xdr:pic>
    <xdr:clientData/>
  </xdr:twoCellAnchor>
  <xdr:twoCellAnchor editAs="oneCell">
    <xdr:from>
      <xdr:col>192</xdr:col>
      <xdr:colOff>0</xdr:colOff>
      <xdr:row>0</xdr:row>
      <xdr:rowOff>0</xdr:rowOff>
    </xdr:from>
    <xdr:to>
      <xdr:col>218</xdr:col>
      <xdr:colOff>379095</xdr:colOff>
      <xdr:row>25</xdr:row>
      <xdr:rowOff>94178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72800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192</xdr:col>
      <xdr:colOff>0</xdr:colOff>
      <xdr:row>29</xdr:row>
      <xdr:rowOff>0</xdr:rowOff>
    </xdr:from>
    <xdr:to>
      <xdr:col>218</xdr:col>
      <xdr:colOff>379095</xdr:colOff>
      <xdr:row>73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728000" y="923925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191</xdr:col>
      <xdr:colOff>0</xdr:colOff>
      <xdr:row>83</xdr:row>
      <xdr:rowOff>0</xdr:rowOff>
    </xdr:from>
    <xdr:to>
      <xdr:col>217</xdr:col>
      <xdr:colOff>379095</xdr:colOff>
      <xdr:row>127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156500" y="1952625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"/>
  <sheetViews>
    <sheetView tabSelected="1" zoomScaleNormal="100" workbookViewId="0">
      <selection activeCell="E23" sqref="E23"/>
    </sheetView>
  </sheetViews>
  <sheetFormatPr defaultRowHeight="15" x14ac:dyDescent="0.25"/>
  <cols>
    <col min="1" max="1" width="21.42578125" bestFit="1" customWidth="1"/>
    <col min="2" max="2" width="14.28515625" bestFit="1" customWidth="1"/>
    <col min="4" max="4" width="37.42578125" customWidth="1"/>
    <col min="5" max="5" width="10.140625" bestFit="1" customWidth="1"/>
    <col min="6" max="6" width="14.28515625" bestFit="1" customWidth="1"/>
    <col min="7" max="7" width="10" bestFit="1" customWidth="1"/>
    <col min="9" max="9" width="10.5703125" bestFit="1" customWidth="1"/>
    <col min="10" max="11" width="10" bestFit="1" customWidth="1"/>
    <col min="12" max="12" width="21.140625" bestFit="1" customWidth="1"/>
    <col min="13" max="13" width="14.28515625" bestFit="1" customWidth="1"/>
    <col min="14" max="14" width="10" bestFit="1" customWidth="1"/>
  </cols>
  <sheetData>
    <row r="1" spans="1:17" ht="16.5" x14ac:dyDescent="0.3">
      <c r="L1" s="24" t="s">
        <v>37</v>
      </c>
      <c r="M1" s="25">
        <v>85000</v>
      </c>
      <c r="P1">
        <v>2017</v>
      </c>
      <c r="Q1">
        <v>2023</v>
      </c>
    </row>
    <row r="2" spans="1:17" ht="49.5" customHeight="1" x14ac:dyDescent="0.3">
      <c r="A2" s="15" t="s">
        <v>20</v>
      </c>
      <c r="B2" s="15" t="s">
        <v>21</v>
      </c>
      <c r="C2" s="15"/>
      <c r="D2" s="15" t="s">
        <v>17</v>
      </c>
      <c r="E2" s="15" t="s">
        <v>7</v>
      </c>
      <c r="F2" s="15" t="s">
        <v>8</v>
      </c>
      <c r="L2" s="26" t="s">
        <v>38</v>
      </c>
      <c r="M2" s="25">
        <v>3000</v>
      </c>
      <c r="P2">
        <v>46</v>
      </c>
      <c r="Q2">
        <v>1971</v>
      </c>
    </row>
    <row r="3" spans="1:17" ht="16.5" x14ac:dyDescent="0.3">
      <c r="A3" s="6" t="s">
        <v>16</v>
      </c>
      <c r="B3" s="6" t="s">
        <v>13</v>
      </c>
      <c r="C3" s="6" t="s">
        <v>1</v>
      </c>
      <c r="D3" s="6" t="s">
        <v>35</v>
      </c>
      <c r="E3" s="13">
        <v>78000</v>
      </c>
      <c r="F3" s="13">
        <f>850*78000</f>
        <v>66300000</v>
      </c>
      <c r="L3" s="24" t="s">
        <v>39</v>
      </c>
      <c r="M3" s="25">
        <f>M1-M2</f>
        <v>82000</v>
      </c>
      <c r="P3">
        <f>P1-P2</f>
        <v>1971</v>
      </c>
      <c r="Q3">
        <f>Q1-Q2</f>
        <v>52</v>
      </c>
    </row>
    <row r="4" spans="1:17" ht="16.5" x14ac:dyDescent="0.3">
      <c r="A4" s="6" t="s">
        <v>18</v>
      </c>
      <c r="B4" s="6" t="s">
        <v>19</v>
      </c>
      <c r="C4" s="6" t="s">
        <v>1</v>
      </c>
      <c r="D4" s="6" t="s">
        <v>31</v>
      </c>
      <c r="E4" s="13">
        <v>75000</v>
      </c>
      <c r="F4" s="13">
        <f>75000*1020</f>
        <v>76500000</v>
      </c>
      <c r="L4" s="24" t="s">
        <v>40</v>
      </c>
      <c r="M4" s="25">
        <f>M2*1</f>
        <v>3000</v>
      </c>
    </row>
    <row r="5" spans="1:17" ht="16.5" x14ac:dyDescent="0.3">
      <c r="A5" s="6" t="s">
        <v>14</v>
      </c>
      <c r="B5" s="6" t="s">
        <v>15</v>
      </c>
      <c r="C5" s="6" t="s">
        <v>2</v>
      </c>
      <c r="D5" s="6" t="s">
        <v>36</v>
      </c>
      <c r="E5" s="13">
        <v>62000</v>
      </c>
      <c r="F5" s="13">
        <f>837*62000</f>
        <v>51894000</v>
      </c>
      <c r="L5" s="24" t="s">
        <v>41</v>
      </c>
      <c r="M5" s="27">
        <v>52</v>
      </c>
    </row>
    <row r="6" spans="1:17" ht="16.5" x14ac:dyDescent="0.3">
      <c r="L6" s="24" t="s">
        <v>42</v>
      </c>
      <c r="M6" s="27">
        <f>M7-M5</f>
        <v>8</v>
      </c>
    </row>
    <row r="7" spans="1:17" ht="16.5" x14ac:dyDescent="0.3">
      <c r="F7" s="18"/>
      <c r="L7" s="24" t="s">
        <v>43</v>
      </c>
      <c r="M7" s="27">
        <v>60</v>
      </c>
    </row>
    <row r="8" spans="1:17" ht="33" x14ac:dyDescent="0.3">
      <c r="A8" s="6" t="s">
        <v>32</v>
      </c>
      <c r="B8" s="6"/>
      <c r="L8" s="26" t="s">
        <v>44</v>
      </c>
      <c r="M8" s="27">
        <f>90*M5/M7</f>
        <v>78</v>
      </c>
    </row>
    <row r="9" spans="1:17" ht="16.5" x14ac:dyDescent="0.3">
      <c r="A9" s="6" t="s">
        <v>23</v>
      </c>
      <c r="B9" s="6">
        <v>784</v>
      </c>
      <c r="C9">
        <v>84000</v>
      </c>
      <c r="D9">
        <f>C9*B9</f>
        <v>65856000</v>
      </c>
      <c r="L9" s="24"/>
      <c r="M9" s="28">
        <f>M8%</f>
        <v>0.78</v>
      </c>
    </row>
    <row r="10" spans="1:17" ht="16.5" x14ac:dyDescent="0.3">
      <c r="A10" s="6" t="s">
        <v>33</v>
      </c>
      <c r="B10" s="6">
        <f>B9*1.2</f>
        <v>940.8</v>
      </c>
      <c r="L10" s="24" t="s">
        <v>45</v>
      </c>
      <c r="M10" s="25">
        <f>M4*M9</f>
        <v>2340</v>
      </c>
    </row>
    <row r="11" spans="1:17" ht="16.5" x14ac:dyDescent="0.3">
      <c r="L11" s="24" t="s">
        <v>46</v>
      </c>
      <c r="M11" s="25">
        <f>M4-M10</f>
        <v>660</v>
      </c>
    </row>
    <row r="12" spans="1:17" ht="16.5" x14ac:dyDescent="0.3">
      <c r="A12" s="37" t="s">
        <v>26</v>
      </c>
      <c r="B12" s="37"/>
      <c r="C12" s="37"/>
      <c r="D12" s="37"/>
      <c r="E12" s="37"/>
      <c r="F12" s="37"/>
      <c r="G12" s="37"/>
      <c r="L12" s="24" t="s">
        <v>39</v>
      </c>
      <c r="M12" s="25">
        <f>M3</f>
        <v>82000</v>
      </c>
    </row>
    <row r="13" spans="1:17" ht="16.5" x14ac:dyDescent="0.3">
      <c r="A13" s="6" t="s">
        <v>5</v>
      </c>
      <c r="B13" s="6" t="s">
        <v>6</v>
      </c>
      <c r="C13" s="6" t="s">
        <v>27</v>
      </c>
      <c r="D13" s="13" t="s">
        <v>8</v>
      </c>
      <c r="E13" s="13" t="s">
        <v>28</v>
      </c>
      <c r="F13" s="13" t="s">
        <v>29</v>
      </c>
      <c r="G13" s="13" t="s">
        <v>30</v>
      </c>
      <c r="I13" s="17" t="s">
        <v>29</v>
      </c>
      <c r="L13" s="24" t="s">
        <v>47</v>
      </c>
      <c r="M13" s="25">
        <f>M12+M11</f>
        <v>82660</v>
      </c>
      <c r="N13" s="18">
        <f>M13/1.2</f>
        <v>68883.333333333343</v>
      </c>
    </row>
    <row r="14" spans="1:17" ht="16.5" x14ac:dyDescent="0.3">
      <c r="A14" s="19"/>
      <c r="B14" s="19">
        <v>840</v>
      </c>
      <c r="C14" s="19"/>
      <c r="D14" s="20">
        <v>67900000</v>
      </c>
      <c r="E14" s="21"/>
      <c r="F14" s="21">
        <f>D14/B14</f>
        <v>80833.333333333328</v>
      </c>
      <c r="G14" s="21"/>
      <c r="H14" s="22"/>
      <c r="I14" s="23">
        <f>F14</f>
        <v>80833.333333333328</v>
      </c>
      <c r="L14" s="24"/>
      <c r="M14" s="27"/>
    </row>
    <row r="15" spans="1:17" ht="16.5" x14ac:dyDescent="0.3">
      <c r="A15" s="19">
        <v>837</v>
      </c>
      <c r="B15" s="19"/>
      <c r="C15" s="19"/>
      <c r="D15" s="20">
        <v>67900000</v>
      </c>
      <c r="E15" s="21">
        <f>D15/A15</f>
        <v>81123.058542413375</v>
      </c>
      <c r="F15" s="21"/>
      <c r="G15" s="21"/>
      <c r="H15" s="22"/>
      <c r="I15" s="23">
        <f>E15/1.2</f>
        <v>67602.548785344479</v>
      </c>
      <c r="L15" s="29" t="s">
        <v>12</v>
      </c>
      <c r="M15" s="30">
        <v>784</v>
      </c>
      <c r="N15">
        <f>M15*1.2</f>
        <v>940.8</v>
      </c>
    </row>
    <row r="16" spans="1:17" ht="16.5" x14ac:dyDescent="0.3">
      <c r="A16" s="19">
        <v>835</v>
      </c>
      <c r="B16" s="19"/>
      <c r="C16" s="19">
        <v>1100</v>
      </c>
      <c r="D16" s="20">
        <v>70000000</v>
      </c>
      <c r="E16" s="21">
        <f>D16/A16</f>
        <v>83832.335329341324</v>
      </c>
      <c r="F16" s="21"/>
      <c r="G16" s="21">
        <f>D16/C16</f>
        <v>63636.36363636364</v>
      </c>
      <c r="H16" s="22"/>
      <c r="I16" s="23">
        <f>E16/1.2</f>
        <v>69860.279441117775</v>
      </c>
      <c r="L16" s="29" t="s">
        <v>48</v>
      </c>
      <c r="M16" s="31">
        <f>M13*M15</f>
        <v>64805440</v>
      </c>
    </row>
    <row r="17" spans="1:14" ht="16.5" x14ac:dyDescent="0.3">
      <c r="A17" s="22"/>
      <c r="B17" s="22"/>
      <c r="C17" s="22"/>
      <c r="D17" s="22"/>
      <c r="E17" s="22"/>
      <c r="F17" s="22"/>
      <c r="G17" s="22"/>
      <c r="H17" s="9" t="s">
        <v>34</v>
      </c>
      <c r="I17" s="38">
        <f>AVERAGE(I14:I16)</f>
        <v>72765.387186598527</v>
      </c>
      <c r="L17" s="32" t="s">
        <v>49</v>
      </c>
      <c r="M17" s="33">
        <f>M16*90%</f>
        <v>58324896</v>
      </c>
    </row>
    <row r="18" spans="1:14" ht="16.5" x14ac:dyDescent="0.3">
      <c r="A18" s="22"/>
      <c r="B18" s="22"/>
      <c r="C18" s="22"/>
      <c r="D18" s="22"/>
      <c r="E18" s="22"/>
      <c r="F18" s="22"/>
      <c r="G18" s="22"/>
      <c r="H18" s="22"/>
      <c r="I18" s="22"/>
      <c r="L18" s="32" t="s">
        <v>50</v>
      </c>
      <c r="M18" s="33">
        <f>M16*80%</f>
        <v>51844352</v>
      </c>
    </row>
    <row r="19" spans="1:14" ht="16.5" x14ac:dyDescent="0.3">
      <c r="L19" s="32" t="s">
        <v>51</v>
      </c>
      <c r="M19" s="33">
        <f>941*M2</f>
        <v>2823000</v>
      </c>
    </row>
    <row r="20" spans="1:14" ht="16.5" x14ac:dyDescent="0.3">
      <c r="A20" t="s">
        <v>5</v>
      </c>
      <c r="B20" t="s">
        <v>6</v>
      </c>
      <c r="C20" t="s">
        <v>27</v>
      </c>
      <c r="D20" t="s">
        <v>8</v>
      </c>
      <c r="E20" t="s">
        <v>28</v>
      </c>
      <c r="F20" t="s">
        <v>29</v>
      </c>
      <c r="L20" s="34" t="s">
        <v>52</v>
      </c>
      <c r="M20" s="33">
        <f>M16*0.025/12</f>
        <v>135011.33333333334</v>
      </c>
    </row>
    <row r="21" spans="1:14" ht="16.5" x14ac:dyDescent="0.3">
      <c r="A21" s="6">
        <v>1600</v>
      </c>
      <c r="B21" s="6">
        <v>2000</v>
      </c>
      <c r="C21" s="6"/>
      <c r="D21" s="13">
        <v>135000000</v>
      </c>
      <c r="E21" s="14">
        <f>D21/A21</f>
        <v>84375</v>
      </c>
      <c r="F21" s="14">
        <f>D21/B21</f>
        <v>67500</v>
      </c>
      <c r="G21" s="14"/>
      <c r="I21" s="16">
        <f>E21/1.2</f>
        <v>70312.5</v>
      </c>
      <c r="L21" s="35" t="s">
        <v>53</v>
      </c>
      <c r="M21" s="36"/>
    </row>
    <row r="22" spans="1:14" x14ac:dyDescent="0.25">
      <c r="A22" s="6">
        <v>1600</v>
      </c>
      <c r="B22" s="6"/>
      <c r="C22" s="6"/>
      <c r="D22" s="13">
        <v>120000000</v>
      </c>
      <c r="E22" s="14">
        <f>D22/A22</f>
        <v>75000</v>
      </c>
      <c r="F22" s="14"/>
      <c r="G22" s="14"/>
      <c r="I22" s="16">
        <f>E22/1.2</f>
        <v>62500</v>
      </c>
    </row>
    <row r="23" spans="1:14" x14ac:dyDescent="0.25">
      <c r="A23" s="6"/>
      <c r="B23" s="6">
        <v>1020</v>
      </c>
      <c r="C23" s="6"/>
      <c r="D23" s="13">
        <v>80000000</v>
      </c>
      <c r="E23" s="14"/>
      <c r="F23" s="14">
        <f>D23/B23</f>
        <v>78431.372549019608</v>
      </c>
      <c r="G23" s="14"/>
      <c r="I23" s="16">
        <f>F23</f>
        <v>78431.372549019608</v>
      </c>
      <c r="J23" s="22"/>
    </row>
    <row r="24" spans="1:14" x14ac:dyDescent="0.25">
      <c r="J24" s="22"/>
    </row>
    <row r="25" spans="1:14" x14ac:dyDescent="0.25">
      <c r="J25" s="22"/>
    </row>
    <row r="26" spans="1:14" x14ac:dyDescent="0.25">
      <c r="J26" s="22"/>
    </row>
    <row r="27" spans="1:14" x14ac:dyDescent="0.25">
      <c r="J27" s="22"/>
    </row>
    <row r="28" spans="1:14" x14ac:dyDescent="0.25">
      <c r="A28">
        <v>13.6</v>
      </c>
      <c r="B28">
        <v>9.6</v>
      </c>
      <c r="C28">
        <f>B28*A28</f>
        <v>130.56</v>
      </c>
    </row>
    <row r="29" spans="1:14" x14ac:dyDescent="0.25">
      <c r="A29">
        <v>12.6</v>
      </c>
      <c r="B29">
        <v>3.06</v>
      </c>
      <c r="C29">
        <f t="shared" ref="C29:C38" si="0">B29*A29</f>
        <v>38.555999999999997</v>
      </c>
      <c r="I29">
        <v>2023</v>
      </c>
      <c r="J29" s="18"/>
      <c r="L29" t="s">
        <v>54</v>
      </c>
      <c r="M29" s="7">
        <v>869610</v>
      </c>
      <c r="N29" s="7"/>
    </row>
    <row r="30" spans="1:14" x14ac:dyDescent="0.25">
      <c r="A30">
        <v>7.6</v>
      </c>
      <c r="B30" s="12">
        <v>3.95</v>
      </c>
      <c r="C30">
        <f t="shared" si="0"/>
        <v>30.02</v>
      </c>
      <c r="I30">
        <v>1971</v>
      </c>
      <c r="M30" s="7">
        <f>M29/100*110</f>
        <v>956571</v>
      </c>
      <c r="N30" s="39">
        <f>M30/10.764</f>
        <v>88867.614269788188</v>
      </c>
    </row>
    <row r="31" spans="1:14" x14ac:dyDescent="0.25">
      <c r="A31">
        <v>3.9</v>
      </c>
      <c r="B31">
        <v>3.5</v>
      </c>
      <c r="C31">
        <f t="shared" si="0"/>
        <v>13.65</v>
      </c>
      <c r="I31">
        <f>I29-I30</f>
        <v>52</v>
      </c>
      <c r="M31" s="7"/>
      <c r="N31" s="39"/>
    </row>
    <row r="32" spans="1:14" x14ac:dyDescent="0.25">
      <c r="A32">
        <v>11.93</v>
      </c>
      <c r="B32">
        <v>7.06</v>
      </c>
      <c r="C32">
        <f t="shared" si="0"/>
        <v>84.225799999999992</v>
      </c>
      <c r="L32" t="s">
        <v>55</v>
      </c>
      <c r="M32" s="7">
        <v>432610</v>
      </c>
      <c r="N32" s="39"/>
    </row>
    <row r="33" spans="1:14" x14ac:dyDescent="0.25">
      <c r="A33">
        <v>18.899999999999999</v>
      </c>
      <c r="B33">
        <v>10.56</v>
      </c>
      <c r="C33">
        <f t="shared" si="0"/>
        <v>199.584</v>
      </c>
      <c r="I33">
        <f>100-I31</f>
        <v>48</v>
      </c>
      <c r="M33" s="7"/>
      <c r="N33" s="39"/>
    </row>
    <row r="34" spans="1:14" x14ac:dyDescent="0.25">
      <c r="A34">
        <v>6.47</v>
      </c>
      <c r="B34">
        <v>2.4500000000000002</v>
      </c>
      <c r="C34">
        <f t="shared" si="0"/>
        <v>15.8515</v>
      </c>
      <c r="M34" s="7">
        <f>M30-M32</f>
        <v>523961</v>
      </c>
      <c r="N34" s="39"/>
    </row>
    <row r="35" spans="1:14" x14ac:dyDescent="0.25">
      <c r="A35">
        <v>11.23</v>
      </c>
      <c r="B35">
        <v>4.2699999999999996</v>
      </c>
      <c r="C35">
        <f t="shared" si="0"/>
        <v>47.952099999999994</v>
      </c>
      <c r="M35" s="7">
        <f>M34*48%</f>
        <v>251501.28</v>
      </c>
      <c r="N35" s="39"/>
    </row>
    <row r="36" spans="1:14" x14ac:dyDescent="0.25">
      <c r="A36">
        <v>10.9</v>
      </c>
      <c r="B36">
        <v>3.83</v>
      </c>
      <c r="C36">
        <f t="shared" si="0"/>
        <v>41.747</v>
      </c>
      <c r="M36" s="7"/>
      <c r="N36" s="39"/>
    </row>
    <row r="37" spans="1:14" x14ac:dyDescent="0.25">
      <c r="A37">
        <v>14.35</v>
      </c>
      <c r="B37">
        <v>9.74</v>
      </c>
      <c r="C37">
        <f t="shared" si="0"/>
        <v>139.76900000000001</v>
      </c>
      <c r="M37" s="39">
        <f>M35+M32</f>
        <v>684111.28</v>
      </c>
      <c r="N37" s="39">
        <f>M37/10.764</f>
        <v>63555.488665923454</v>
      </c>
    </row>
    <row r="38" spans="1:14" x14ac:dyDescent="0.25">
      <c r="A38">
        <v>7.8</v>
      </c>
      <c r="B38">
        <v>5.43</v>
      </c>
      <c r="C38">
        <f t="shared" si="0"/>
        <v>42.353999999999999</v>
      </c>
      <c r="M38" s="7"/>
      <c r="N38" s="7"/>
    </row>
    <row r="39" spans="1:14" x14ac:dyDescent="0.25">
      <c r="C39">
        <f>SUM(C28:C38)</f>
        <v>784.26940000000002</v>
      </c>
      <c r="M39" s="7">
        <v>941</v>
      </c>
    </row>
    <row r="40" spans="1:14" x14ac:dyDescent="0.25">
      <c r="M40" s="7">
        <v>63555</v>
      </c>
    </row>
    <row r="41" spans="1:14" x14ac:dyDescent="0.25">
      <c r="M41" s="7">
        <f>M40*M39</f>
        <v>59805255</v>
      </c>
    </row>
    <row r="57" spans="1:5" ht="30" x14ac:dyDescent="0.25">
      <c r="A57" s="1" t="s">
        <v>11</v>
      </c>
      <c r="B57" s="1"/>
      <c r="D57" s="4" t="s">
        <v>9</v>
      </c>
      <c r="E57" s="1"/>
    </row>
    <row r="58" spans="1:5" x14ac:dyDescent="0.25">
      <c r="A58" s="1" t="s">
        <v>0</v>
      </c>
      <c r="B58" s="1"/>
      <c r="D58" s="1" t="s">
        <v>10</v>
      </c>
      <c r="E58" s="1"/>
    </row>
    <row r="59" spans="1:5" x14ac:dyDescent="0.25">
      <c r="A59" s="1"/>
      <c r="B59" s="1"/>
      <c r="D59" s="1"/>
      <c r="E59" s="1"/>
    </row>
    <row r="60" spans="1:5" x14ac:dyDescent="0.25">
      <c r="A60" s="1" t="s">
        <v>4</v>
      </c>
      <c r="B60" s="1"/>
      <c r="D60" s="1" t="s">
        <v>12</v>
      </c>
      <c r="E60" s="2">
        <v>837</v>
      </c>
    </row>
    <row r="61" spans="1:5" x14ac:dyDescent="0.25">
      <c r="A61" s="1" t="s">
        <v>1</v>
      </c>
      <c r="B61" s="1">
        <v>850</v>
      </c>
      <c r="D61" s="1" t="s">
        <v>7</v>
      </c>
      <c r="E61" s="1">
        <v>62000</v>
      </c>
    </row>
    <row r="62" spans="1:5" x14ac:dyDescent="0.25">
      <c r="A62" s="1" t="s">
        <v>2</v>
      </c>
      <c r="B62" s="1">
        <v>1020</v>
      </c>
      <c r="D62" s="3" t="s">
        <v>8</v>
      </c>
      <c r="E62" s="3">
        <f>E61*E60</f>
        <v>51894000</v>
      </c>
    </row>
    <row r="63" spans="1:5" x14ac:dyDescent="0.25">
      <c r="A63" s="1"/>
      <c r="B63" s="1"/>
      <c r="D63" s="1"/>
      <c r="E63" s="1"/>
    </row>
    <row r="64" spans="1:5" x14ac:dyDescent="0.25">
      <c r="A64" s="1"/>
      <c r="B64" s="1"/>
      <c r="D64" s="1" t="s">
        <v>13</v>
      </c>
      <c r="E64" s="1"/>
    </row>
    <row r="65" spans="1:13" x14ac:dyDescent="0.25">
      <c r="A65" s="1" t="s">
        <v>3</v>
      </c>
      <c r="B65" s="1">
        <v>46</v>
      </c>
      <c r="D65" s="1" t="s">
        <v>1</v>
      </c>
      <c r="E65" s="1">
        <v>850</v>
      </c>
    </row>
    <row r="66" spans="1:13" x14ac:dyDescent="0.25">
      <c r="A66" s="5">
        <f>2017-46</f>
        <v>1971</v>
      </c>
      <c r="B66" s="1"/>
      <c r="D66" s="1" t="s">
        <v>7</v>
      </c>
      <c r="E66" s="1">
        <v>78000</v>
      </c>
    </row>
    <row r="67" spans="1:13" x14ac:dyDescent="0.25">
      <c r="A67" s="1"/>
      <c r="B67" s="1"/>
      <c r="D67" s="1" t="s">
        <v>8</v>
      </c>
      <c r="E67" s="1">
        <f>E66*E65</f>
        <v>66300000</v>
      </c>
    </row>
    <row r="68" spans="1:13" x14ac:dyDescent="0.25">
      <c r="A68" s="1" t="s">
        <v>5</v>
      </c>
      <c r="B68" s="1">
        <v>850</v>
      </c>
      <c r="D68" s="1"/>
      <c r="E68" s="1"/>
    </row>
    <row r="69" spans="1:13" x14ac:dyDescent="0.25">
      <c r="A69" s="1" t="s">
        <v>6</v>
      </c>
      <c r="B69" s="2">
        <f>B68*1.2</f>
        <v>1020</v>
      </c>
      <c r="D69" s="1"/>
      <c r="E69" s="1"/>
    </row>
    <row r="70" spans="1:13" x14ac:dyDescent="0.25">
      <c r="A70" s="1" t="s">
        <v>7</v>
      </c>
      <c r="B70" s="1">
        <v>75000</v>
      </c>
      <c r="D70" s="1"/>
      <c r="E70" s="1"/>
    </row>
    <row r="71" spans="1:13" x14ac:dyDescent="0.25">
      <c r="A71" s="3" t="s">
        <v>8</v>
      </c>
      <c r="B71" s="3">
        <f>B70*B69</f>
        <v>76500000</v>
      </c>
      <c r="D71" s="1"/>
      <c r="E71" s="1"/>
    </row>
    <row r="78" spans="1:13" x14ac:dyDescent="0.25">
      <c r="I78">
        <v>850</v>
      </c>
      <c r="J78">
        <f>I78*1.2</f>
        <v>1020</v>
      </c>
      <c r="K78" s="7">
        <v>75000</v>
      </c>
      <c r="L78" s="7">
        <f>K78*J78</f>
        <v>76500000</v>
      </c>
      <c r="M78" s="7">
        <f>L78/I78</f>
        <v>90000</v>
      </c>
    </row>
    <row r="82" spans="1:8" x14ac:dyDescent="0.25">
      <c r="B82" t="s">
        <v>22</v>
      </c>
      <c r="H82">
        <v>837</v>
      </c>
    </row>
    <row r="83" spans="1:8" x14ac:dyDescent="0.25">
      <c r="A83" t="s">
        <v>1</v>
      </c>
      <c r="B83" s="7">
        <v>865</v>
      </c>
      <c r="D83" s="9" t="s">
        <v>23</v>
      </c>
      <c r="E83" s="9">
        <v>784</v>
      </c>
      <c r="H83">
        <v>65000</v>
      </c>
    </row>
    <row r="84" spans="1:8" x14ac:dyDescent="0.25">
      <c r="A84" t="s">
        <v>2</v>
      </c>
      <c r="B84" s="8">
        <f>B83*1.2</f>
        <v>1038</v>
      </c>
      <c r="H84">
        <f>H83*H82</f>
        <v>54405000</v>
      </c>
    </row>
    <row r="85" spans="1:8" x14ac:dyDescent="0.25">
      <c r="A85" t="s">
        <v>7</v>
      </c>
      <c r="B85" s="7">
        <v>63000</v>
      </c>
    </row>
    <row r="86" spans="1:8" x14ac:dyDescent="0.25">
      <c r="A86" t="s">
        <v>8</v>
      </c>
      <c r="B86" s="8">
        <f>B85*B84</f>
        <v>65394000</v>
      </c>
    </row>
    <row r="87" spans="1:8" x14ac:dyDescent="0.25">
      <c r="B87" s="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FV1" zoomScale="55" zoomScaleNormal="55" workbookViewId="0">
      <selection activeCell="Q100" sqref="Q100"/>
    </sheetView>
  </sheetViews>
  <sheetFormatPr defaultRowHeight="15" x14ac:dyDescent="0.25"/>
  <sheetData>
    <row r="1" spans="1:1" ht="270" x14ac:dyDescent="0.25">
      <c r="A1" s="10" t="s">
        <v>24</v>
      </c>
    </row>
    <row r="2" spans="1:1" ht="51" x14ac:dyDescent="0.25">
      <c r="A2" s="11" t="s">
        <v>25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2023-12-11T11:14:52Z</dcterms:modified>
</cp:coreProperties>
</file>