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Bank of Baroda\MMWR - Vile Parle (West)\Paleja Janak Narandas - Flat\"/>
    </mc:Choice>
  </mc:AlternateContent>
  <xr:revisionPtr revIDLastSave="0" documentId="13_ncr:1_{D2121AFD-BF02-4717-BF14-3417A99E6788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78" r:id="rId6"/>
    <sheet name="Sheet3" sheetId="79" r:id="rId7"/>
    <sheet name="Sheet4" sheetId="80" r:id="rId8"/>
    <sheet name="Sheet5" sheetId="81" r:id="rId9"/>
    <sheet name="Sheet6" sheetId="82" r:id="rId10"/>
    <sheet name="Sheet7" sheetId="83" r:id="rId11"/>
    <sheet name="Sheet8" sheetId="84" r:id="rId12"/>
    <sheet name="Sheet9" sheetId="85" r:id="rId13"/>
    <sheet name="Sheet10" sheetId="86" r:id="rId14"/>
    <sheet name="Sheet11" sheetId="87" r:id="rId15"/>
    <sheet name="Sheet12" sheetId="88" r:id="rId16"/>
    <sheet name="Sheet13" sheetId="89" r:id="rId17"/>
  </sheets>
  <definedNames>
    <definedName name="_Hlk83481416" localSheetId="3">'20-20'!$N$26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23" l="1"/>
  <c r="K5" i="23"/>
  <c r="G34" i="4"/>
  <c r="Q4" i="4"/>
  <c r="E28" i="23"/>
  <c r="H4" i="23"/>
  <c r="P2" i="4"/>
  <c r="P3" i="4"/>
  <c r="Q5" i="4"/>
  <c r="Q6" i="4"/>
  <c r="P7" i="4"/>
  <c r="Q8" i="4"/>
  <c r="Q9" i="4"/>
  <c r="P10" i="4"/>
  <c r="P11" i="4"/>
  <c r="P12" i="4"/>
  <c r="Q13" i="4"/>
  <c r="Q14" i="4"/>
  <c r="P15" i="4"/>
  <c r="Q15" i="4" s="1"/>
  <c r="P16" i="4"/>
  <c r="Q16" i="4" s="1"/>
  <c r="P17" i="4"/>
  <c r="Q17" i="4" s="1"/>
  <c r="Q18" i="4"/>
  <c r="P18" i="4"/>
  <c r="G31" i="4" l="1"/>
  <c r="E24" i="4" s="1"/>
  <c r="G27" i="4"/>
  <c r="E31" i="4"/>
  <c r="P19" i="4"/>
  <c r="Q19" i="4"/>
  <c r="C23" i="23"/>
  <c r="C8" i="25"/>
  <c r="D9" i="23"/>
  <c r="C7" i="23" s="1"/>
  <c r="N17" i="24"/>
  <c r="N18" i="24"/>
  <c r="N16" i="24"/>
  <c r="N19" i="24" s="1"/>
  <c r="N12" i="24"/>
  <c r="N13" i="24"/>
  <c r="H5" i="23"/>
  <c r="N3" i="24"/>
  <c r="N4" i="24"/>
  <c r="N5" i="24"/>
  <c r="N6" i="24"/>
  <c r="N7" i="24"/>
  <c r="N8" i="24"/>
  <c r="N9" i="24"/>
  <c r="N10" i="24"/>
  <c r="N11" i="24"/>
  <c r="N2" i="24"/>
  <c r="C4" i="25"/>
  <c r="N14" i="24" l="1"/>
  <c r="H34" i="4"/>
  <c r="J2" i="4"/>
  <c r="I2" i="4"/>
  <c r="J3" i="4"/>
  <c r="I3" i="4"/>
  <c r="J4" i="4"/>
  <c r="I4" i="4"/>
  <c r="J5" i="4"/>
  <c r="I5" i="4"/>
  <c r="J6" i="4"/>
  <c r="I6" i="4"/>
  <c r="J7" i="4"/>
  <c r="I7" i="4"/>
  <c r="N31" i="24"/>
  <c r="E19" i="23" l="1"/>
  <c r="E21" i="23" s="1"/>
  <c r="D19" i="23"/>
  <c r="D23" i="23"/>
  <c r="C5" i="23"/>
  <c r="E20" i="23" l="1"/>
  <c r="D21" i="23"/>
  <c r="D20" i="23"/>
  <c r="C5" i="25"/>
  <c r="B2" i="4"/>
  <c r="B3" i="4"/>
  <c r="B4" i="4"/>
  <c r="B5" i="4"/>
  <c r="B6" i="4"/>
  <c r="B7" i="4"/>
  <c r="B8" i="4"/>
  <c r="B9" i="4"/>
  <c r="B10" i="4"/>
  <c r="B11" i="4"/>
  <c r="B12" i="4"/>
  <c r="B13" i="4"/>
  <c r="C13" i="4" s="1"/>
  <c r="D13" i="4" s="1"/>
  <c r="J8" i="4"/>
  <c r="J15" i="4"/>
  <c r="I15" i="4"/>
  <c r="E15" i="4"/>
  <c r="A15" i="4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E7" i="4"/>
  <c r="A7" i="4"/>
  <c r="E6" i="4"/>
  <c r="A6" i="4"/>
  <c r="E5" i="4"/>
  <c r="A5" i="4"/>
  <c r="E4" i="4"/>
  <c r="A4" i="4"/>
  <c r="E3" i="4"/>
  <c r="A3" i="4"/>
  <c r="E2" i="4"/>
  <c r="A2" i="4"/>
  <c r="C13" i="25"/>
  <c r="C20" i="25"/>
  <c r="C16" i="25"/>
  <c r="C17" i="25" s="1"/>
  <c r="B15" i="4" l="1"/>
  <c r="B14" i="4"/>
  <c r="C12" i="4"/>
  <c r="D12" i="4" s="1"/>
  <c r="H12" i="4" s="1"/>
  <c r="F12" i="4"/>
  <c r="C11" i="4"/>
  <c r="D11" i="4" s="1"/>
  <c r="H11" i="4" s="1"/>
  <c r="F11" i="4"/>
  <c r="C10" i="4"/>
  <c r="D10" i="4" s="1"/>
  <c r="H10" i="4" s="1"/>
  <c r="F10" i="4"/>
  <c r="C9" i="4"/>
  <c r="D9" i="4" s="1"/>
  <c r="H9" i="4" s="1"/>
  <c r="F9" i="4"/>
  <c r="C8" i="4"/>
  <c r="D8" i="4" s="1"/>
  <c r="H8" i="4" s="1"/>
  <c r="F8" i="4"/>
  <c r="C7" i="4"/>
  <c r="D7" i="4" s="1"/>
  <c r="H7" i="4" s="1"/>
  <c r="F7" i="4"/>
  <c r="C6" i="4"/>
  <c r="D6" i="4" s="1"/>
  <c r="H6" i="4" s="1"/>
  <c r="F6" i="4"/>
  <c r="C5" i="4"/>
  <c r="D5" i="4" s="1"/>
  <c r="H5" i="4" s="1"/>
  <c r="F5" i="4"/>
  <c r="C4" i="4"/>
  <c r="D4" i="4" s="1"/>
  <c r="H4" i="4" s="1"/>
  <c r="F4" i="4"/>
  <c r="C3" i="4"/>
  <c r="D3" i="4" s="1"/>
  <c r="H3" i="4" s="1"/>
  <c r="F3" i="4"/>
  <c r="C2" i="4"/>
  <c r="D2" i="4" s="1"/>
  <c r="H2" i="4" s="1"/>
  <c r="F2" i="4"/>
  <c r="I2" i="24"/>
  <c r="H13" i="4"/>
  <c r="F13" i="4"/>
  <c r="G13" i="4"/>
  <c r="C7" i="25"/>
  <c r="E5" i="25"/>
  <c r="E17" i="25"/>
  <c r="C19" i="25"/>
  <c r="C21" i="25" s="1"/>
  <c r="E21" i="25" s="1"/>
  <c r="G3" i="4" l="1"/>
  <c r="G4" i="4"/>
  <c r="G9" i="4"/>
  <c r="G10" i="4"/>
  <c r="G12" i="4"/>
  <c r="G8" i="4"/>
  <c r="G7" i="4"/>
  <c r="G5" i="4"/>
  <c r="G6" i="4"/>
  <c r="G11" i="4"/>
  <c r="G2" i="4"/>
  <c r="C14" i="4"/>
  <c r="F14" i="4"/>
  <c r="C15" i="4"/>
  <c r="F15" i="4"/>
  <c r="G36" i="4"/>
  <c r="C9" i="25"/>
  <c r="E9" i="25" s="1"/>
  <c r="G35" i="4"/>
  <c r="F30" i="24"/>
  <c r="H30" i="24" s="1"/>
  <c r="E30" i="24"/>
  <c r="G30" i="24" s="1"/>
  <c r="I30" i="24" s="1"/>
  <c r="H29" i="24"/>
  <c r="G29" i="24"/>
  <c r="I29" i="24" s="1"/>
  <c r="F29" i="24"/>
  <c r="E29" i="24"/>
  <c r="G28" i="24"/>
  <c r="F28" i="24"/>
  <c r="I28" i="24" s="1"/>
  <c r="E28" i="24"/>
  <c r="H28" i="24" s="1"/>
  <c r="H27" i="24"/>
  <c r="G27" i="24"/>
  <c r="F27" i="24"/>
  <c r="I27" i="24" s="1"/>
  <c r="E27" i="24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D15" i="4" l="1"/>
  <c r="H15" i="4" s="1"/>
  <c r="G15" i="4"/>
  <c r="D14" i="4"/>
  <c r="H14" i="4" s="1"/>
  <c r="G14" i="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8" i="23"/>
  <c r="C6" i="23"/>
  <c r="C14" i="23"/>
  <c r="C10" i="23" l="1"/>
  <c r="C11" i="23" s="1"/>
  <c r="C12" i="23" s="1"/>
  <c r="C13" i="23" s="1"/>
  <c r="C16" i="23" s="1"/>
  <c r="C19" i="23" s="1"/>
  <c r="C25" i="23" s="1"/>
  <c r="C20" i="23" l="1"/>
  <c r="C21" i="23"/>
  <c r="J19" i="4" l="1"/>
  <c r="I19" i="4"/>
  <c r="E19" i="4"/>
  <c r="A19" i="4"/>
  <c r="J18" i="4"/>
  <c r="I18" i="4"/>
  <c r="E18" i="4"/>
  <c r="A18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 l="1"/>
  <c r="H18" i="4" s="1"/>
  <c r="D17" i="4"/>
  <c r="H17" i="4" s="1"/>
  <c r="D16" i="4"/>
  <c r="H16" i="4" s="1"/>
</calcChain>
</file>

<file path=xl/sharedStrings.xml><?xml version="1.0" encoding="utf-8"?>
<sst xmlns="http://schemas.openxmlformats.org/spreadsheetml/2006/main" count="184" uniqueCount="121">
  <si>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</si>
  <si>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</si>
  <si>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</si>
  <si>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</si>
  <si>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</si>
  <si>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</si>
  <si>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</si>
  <si>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</si>
  <si>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</si>
  <si>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</si>
  <si>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</si>
  <si>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</si>
  <si>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</si>
  <si>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</si>
  <si>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</si>
  <si>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</si>
  <si>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</si>
  <si>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</si>
  <si>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</si>
  <si>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</si>
  <si>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</si>
  <si>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</si>
  <si>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</si>
  <si>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</si>
  <si>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</si>
  <si>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</si>
  <si>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</si>
  <si>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</si>
  <si>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</si>
  <si>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</si>
  <si>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</si>
  <si>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</si>
  <si>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</si>
  <si>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</si>
  <si>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</si>
  <si>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</si>
  <si>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</si>
  <si>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</si>
  <si>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</si>
  <si>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</si>
  <si>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</si>
  <si>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</si>
  <si>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</si>
  <si>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</si>
  <si>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</si>
  <si>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</si>
  <si>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</si>
  <si>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</si>
  <si>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</si>
  <si>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</si>
  <si>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</si>
  <si>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</si>
  <si>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</si>
  <si>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</si>
  <si>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</si>
  <si>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</si>
  <si>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</si>
  <si>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</si>
  <si>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</si>
  <si>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</si>
  <si>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</si>
  <si>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</si>
  <si>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</si>
  <si>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</si>
  <si>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</si>
  <si>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</si>
  <si>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</si>
  <si>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</si>
  <si>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</si>
  <si>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</si>
  <si>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</si>
  <si>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</si>
  <si>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</si>
  <si>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Rate</t>
  </si>
  <si>
    <t>FMV</t>
  </si>
  <si>
    <t>Total MCA</t>
  </si>
  <si>
    <t>Chajja</t>
  </si>
  <si>
    <t>Service Area</t>
  </si>
  <si>
    <t>CA</t>
  </si>
  <si>
    <t>Ground Floor</t>
  </si>
  <si>
    <t>Insurance</t>
  </si>
  <si>
    <t>BUA</t>
  </si>
  <si>
    <t>Construction Cost</t>
  </si>
  <si>
    <t>Increased 10% for Higher floor (11th -20th Floor)</t>
  </si>
  <si>
    <t>Depreciation:
90% (for Building between 5 to 10 years)</t>
  </si>
  <si>
    <t>Balcony</t>
  </si>
  <si>
    <t>IGR</t>
  </si>
  <si>
    <t>ACA</t>
  </si>
  <si>
    <t>Total ACA</t>
  </si>
  <si>
    <t>Dry Bal</t>
  </si>
  <si>
    <t>Cupboard</t>
  </si>
  <si>
    <t>rate on CA</t>
  </si>
  <si>
    <t>Agreement dtd.</t>
  </si>
  <si>
    <t>Bed</t>
  </si>
  <si>
    <t>Passage</t>
  </si>
  <si>
    <t>Living</t>
  </si>
  <si>
    <t>26.12.2001</t>
  </si>
  <si>
    <t>Year of Construciton 2005</t>
  </si>
  <si>
    <t>18 Years</t>
  </si>
  <si>
    <t>Kitchen</t>
  </si>
  <si>
    <t>Toilet</t>
  </si>
  <si>
    <t>3 BHK Flat</t>
  </si>
  <si>
    <t>73.04 चौ.मीटर</t>
  </si>
  <si>
    <t>57.62 चौ.मीटर</t>
  </si>
  <si>
    <t>40.20 चौ.मीटर</t>
  </si>
  <si>
    <t>47.86 चौ.मीटर</t>
  </si>
  <si>
    <t>Com</t>
  </si>
  <si>
    <t>1 RK Flat In Shanti Apartment For Sale In Kandivali West
Swami Vivekanand Road, Fateh Baug</t>
  </si>
  <si>
    <t>2 BHK Flat In Shanti Apartment Kandivali West For Sale In Kandivali West
Kandivali West, Mumbai</t>
  </si>
  <si>
    <t>1 BHK Flat In Shanti Apartment For Sale In Kandivali West
Swami Vivekanand Road, Fateh Baug, Kandivali West, Mumbai, Maharashtra, INDIA</t>
  </si>
  <si>
    <t>1 BHK, Shanti Apartment, Fateh baug</t>
  </si>
  <si>
    <t>4 BHK 1600 Sq-ft Flat For Sale in, 400 Crystal Fateh Baug Rd, Kandivali, Fateh Baug, Mumbai - Western Mumbai, Maharashtra</t>
  </si>
  <si>
    <t>2.5 BHK, Versatile Allure
Fateh Baug, Kandivali West, Mumbai - 400067</t>
  </si>
  <si>
    <t>Maitri Residency I Co-Op. Hsg. Soc. Ltd.</t>
  </si>
  <si>
    <t>19.06.2023</t>
  </si>
  <si>
    <t xml:space="preserve">2 BHK </t>
  </si>
  <si>
    <t>23300/-</t>
  </si>
  <si>
    <t>1.4KM</t>
  </si>
  <si>
    <t>IGR - Sale Certificate</t>
  </si>
  <si>
    <t>लिकेचे नाव:मुंबई मनपाइतर वर्णन :सदनिका नं: प्रिमायसिस नं. 104, माळा नं: पहिला मजला, इमारतीचे नाव: न्यू शांती को.ऑप.हा.सो.ली., ब्लॉक नं: कांदिवली पश्चिम मुंबई - 400067, रोड : एस. वी. रोड,( ( C.T.S. Number : 209,211,212,213 ; ) )</t>
  </si>
  <si>
    <t xml:space="preserve"> पालिकेचे नाव:Mumbai Ma.na.pa. इतर वर्णन :सदनिका नं: सदनिका क्र.बी/203, माळा नं: दुसरा मजला, इमारतीचे नाव: लिना एनक्लेव्ह को-ऑप.हौ.सो.ली., ब्लॉक नं: कांदिवली पश्चिम मुंबई 400067, रोड : ओप. कांदिवली टेलिफोन एक्स्चेंज एस. वी. रोड, इतर माहिती: सदनिका नं: सदनिका क्र.बी/203, माळा नं: दुसरा मजला, इमारतीचे नाव: लिना एनक्लेव्ह को-ऑप.हौ.सो.ली., ब्लॉक नं: कांदिवली पश्चिम मुंबई 400067, रोड नं: ओप. कांदिवली टेलिफोन एक्स्चेंज एस. वी. रोड( ( C.T.S. Number : 209, 211, 212 and 213 ; )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</si>
</sst>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000"/>
    <numFmt numFmtId="167" formatCode="0.0"/>
  </numFmts>
  <fonts count="2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rgb="FF000000"/>
      <name val="Rupee Foradian"/>
      <family val="2"/>
    </font>
    <font>
      <sz val="9"/>
      <color theme="1"/>
      <name val="Arial Narrow"/>
      <family val="2"/>
    </font>
    <font>
      <b/>
      <sz val="8"/>
      <color theme="1"/>
      <name val="Arial Narrow"/>
      <family val="2"/>
    </font>
    <font>
      <sz val="14"/>
      <color rgb="FF000000"/>
      <name val="Times New Roman"/>
      <family val="1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43" fontId="0" fillId="0" borderId="8" xfId="1" applyFon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9" fillId="0" borderId="5" xfId="0" applyFont="1" applyBorder="1"/>
    <xf numFmtId="3" fontId="7" fillId="2" borderId="0" xfId="0" applyNumberFormat="1" applyFont="1" applyFill="1"/>
    <xf numFmtId="3" fontId="9" fillId="0" borderId="0" xfId="0" applyNumberFormat="1" applyFont="1"/>
    <xf numFmtId="43" fontId="0" fillId="0" borderId="0" xfId="1" applyFont="1" applyAlignment="1">
      <alignment horizontal="left"/>
    </xf>
    <xf numFmtId="43" fontId="0" fillId="0" borderId="0" xfId="1" applyFont="1" applyAlignment="1"/>
    <xf numFmtId="2" fontId="0" fillId="3" borderId="8" xfId="0" applyNumberFormat="1" applyFill="1" applyBorder="1"/>
    <xf numFmtId="0" fontId="0" fillId="3" borderId="8" xfId="0" applyFill="1" applyBorder="1"/>
    <xf numFmtId="2" fontId="2" fillId="3" borderId="8" xfId="0" applyNumberFormat="1" applyFont="1" applyFill="1" applyBorder="1"/>
    <xf numFmtId="0" fontId="2" fillId="3" borderId="8" xfId="0" applyFont="1" applyFill="1" applyBorder="1"/>
    <xf numFmtId="0" fontId="3" fillId="3" borderId="8" xfId="0" applyFont="1" applyFill="1" applyBorder="1"/>
    <xf numFmtId="0" fontId="7" fillId="3" borderId="8" xfId="0" applyFont="1" applyFill="1" applyBorder="1"/>
    <xf numFmtId="4" fontId="0" fillId="3" borderId="8" xfId="0" applyNumberFormat="1" applyFill="1" applyBorder="1"/>
    <xf numFmtId="0" fontId="1" fillId="3" borderId="8" xfId="0" applyFont="1" applyFill="1" applyBorder="1"/>
    <xf numFmtId="166" fontId="0" fillId="3" borderId="8" xfId="0" applyNumberFormat="1" applyFill="1" applyBorder="1"/>
    <xf numFmtId="43" fontId="0" fillId="3" borderId="8" xfId="1" applyFont="1" applyFill="1" applyBorder="1"/>
    <xf numFmtId="164" fontId="0" fillId="3" borderId="8" xfId="0" applyNumberFormat="1" applyFill="1" applyBorder="1"/>
    <xf numFmtId="167" fontId="0" fillId="0" borderId="0" xfId="0" applyNumberFormat="1"/>
    <xf numFmtId="1" fontId="0" fillId="0" borderId="0" xfId="0" applyNumberFormat="1"/>
    <xf numFmtId="43" fontId="4" fillId="0" borderId="0" xfId="1" applyFont="1"/>
    <xf numFmtId="0" fontId="15" fillId="0" borderId="0" xfId="0" applyFont="1"/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0" fontId="0" fillId="3" borderId="0" xfId="0" applyFill="1"/>
    <xf numFmtId="4" fontId="0" fillId="3" borderId="0" xfId="0" applyNumberFormat="1" applyFill="1"/>
    <xf numFmtId="43" fontId="0" fillId="3" borderId="0" xfId="1" applyFont="1" applyFill="1"/>
    <xf numFmtId="2" fontId="2" fillId="0" borderId="8" xfId="0" applyNumberFormat="1" applyFont="1" applyBorder="1"/>
    <xf numFmtId="165" fontId="4" fillId="0" borderId="0" xfId="1" applyNumberFormat="1" applyFont="1"/>
    <xf numFmtId="43" fontId="0" fillId="0" borderId="0" xfId="1" applyFont="1" applyAlignment="1">
      <alignment horizontal="right"/>
    </xf>
    <xf numFmtId="43" fontId="2" fillId="0" borderId="8" xfId="1" applyFont="1" applyBorder="1" applyAlignment="1"/>
    <xf numFmtId="43" fontId="0" fillId="0" borderId="8" xfId="1" applyFont="1" applyBorder="1" applyAlignment="1">
      <alignment horizontal="right"/>
    </xf>
    <xf numFmtId="0" fontId="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43" fontId="4" fillId="0" borderId="0" xfId="1" applyFont="1" applyAlignment="1"/>
    <xf numFmtId="43" fontId="4" fillId="0" borderId="0" xfId="0" applyNumberFormat="1" applyFont="1" applyAlignment="1">
      <alignment vertical="center"/>
    </xf>
    <xf numFmtId="1" fontId="0" fillId="0" borderId="0" xfId="1" applyNumberFormat="1" applyFont="1" applyAlignment="1">
      <alignment horizontal="right"/>
    </xf>
    <xf numFmtId="1" fontId="0" fillId="0" borderId="0" xfId="0" applyNumberFormat="1" applyAlignment="1">
      <alignment horizontal="right"/>
    </xf>
    <xf numFmtId="1" fontId="13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right"/>
    </xf>
    <xf numFmtId="43" fontId="0" fillId="0" borderId="0" xfId="1" quotePrefix="1" applyFont="1"/>
    <xf numFmtId="0" fontId="0" fillId="0" borderId="0" xfId="0" applyAlignment="1">
      <alignment horizontal="left" vertical="center"/>
    </xf>
    <xf numFmtId="0" fontId="17" fillId="0" borderId="0" xfId="0" applyFont="1" applyAlignment="1">
      <alignment vertical="center"/>
    </xf>
    <xf numFmtId="0" fontId="18" fillId="0" borderId="0" xfId="0" applyFont="1"/>
    <xf numFmtId="43" fontId="0" fillId="0" borderId="0" xfId="1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4" fontId="9" fillId="0" borderId="0" xfId="0" applyNumberFormat="1" applyFont="1" applyAlignment="1">
      <alignment horizontal="right" vertical="center" wrapText="1"/>
    </xf>
    <xf numFmtId="43" fontId="9" fillId="0" borderId="0" xfId="1" applyFont="1" applyAlignment="1">
      <alignment horizontal="left" vertical="top" wrapText="1"/>
    </xf>
    <xf numFmtId="0" fontId="20" fillId="0" borderId="0" xfId="0" applyFont="1"/>
    <xf numFmtId="0" fontId="1" fillId="2" borderId="0" xfId="0" applyFont="1" applyFill="1"/>
    <xf numFmtId="4" fontId="0" fillId="2" borderId="0" xfId="0" applyNumberFormat="1" applyFill="1"/>
    <xf numFmtId="2" fontId="0" fillId="3" borderId="0" xfId="0" applyNumberFormat="1" applyFill="1"/>
    <xf numFmtId="0" fontId="20" fillId="0" borderId="0" xfId="0" applyFont="1" applyAlignment="1">
      <alignment horizontal="left"/>
    </xf>
    <xf numFmtId="4" fontId="1" fillId="2" borderId="0" xfId="0" applyNumberFormat="1" applyFont="1" applyFill="1"/>
    <xf numFmtId="4" fontId="1" fillId="3" borderId="0" xfId="0" applyNumberFormat="1" applyFont="1" applyFill="1"/>
    <xf numFmtId="43" fontId="1" fillId="0" borderId="0" xfId="1" applyFont="1"/>
    <xf numFmtId="43" fontId="1" fillId="0" borderId="0" xfId="1" applyFont="1" applyAlignment="1"/>
    <xf numFmtId="0" fontId="21" fillId="0" borderId="0" xfId="0" applyFont="1"/>
    <xf numFmtId="0" fontId="10" fillId="0" borderId="8" xfId="0" applyFont="1" applyBorder="1" applyAlignment="1">
      <alignment horizontal="center"/>
    </xf>
    <xf numFmtId="43" fontId="0" fillId="0" borderId="0" xfId="1" applyFont="1" applyAlignment="1">
      <alignment horizontal="center"/>
    </xf>
  </cellXfs>
  <cellStyles count="3">
    <cellStyle name="Comma" xfId="1" builtinId="3"/>
    <cellStyle name="Comma 2" xfId="2" xr:uid="{C1C4E7DC-7879-48E2-8DB7-EA7705F6F507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36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F4197D-63EE-C1DA-EE75-5C17E7A88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437336-3543-BB3E-0001-EE81273DA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6B9C97-F3C0-5852-F3C3-E32D19D23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930141-7057-4D69-9EA4-CFA0502E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52EEA7-5704-4B74-BA8A-62B7FC1A5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A6AFC6-0B85-9BF9-1396-1D041DEEE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D53CB5-BACF-09AD-1F28-3349E0451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6F9D28-5BA2-AE50-84F7-B48029657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694DC1-0391-F4A2-09F1-44D898EB0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96F39-05F5-B1EB-627D-D6B25B33C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A3842-161C-B28C-BF8F-956D1BAB8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18C41-F0A4-6F20-D8DA-141FFEB7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E9F031-4462-455B-E8D5-2870CF4E3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zoomScale="115" zoomScaleNormal="115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59</v>
      </c>
      <c r="C3" s="49">
        <v>69600</v>
      </c>
      <c r="D3" s="41"/>
      <c r="E3" s="41"/>
      <c r="F3" s="41"/>
      <c r="H3" s="51" t="s">
        <v>37</v>
      </c>
      <c r="I3" s="51"/>
      <c r="J3" s="51" t="s">
        <v>38</v>
      </c>
      <c r="K3" s="51" t="s">
        <v>39</v>
      </c>
      <c r="L3" s="51" t="s">
        <v>40</v>
      </c>
    </row>
    <row r="4" spans="2:12" x14ac:dyDescent="0.25">
      <c r="B4" s="41" t="s">
        <v>83</v>
      </c>
      <c r="C4" s="49">
        <f>C3*10%</f>
        <v>6960</v>
      </c>
      <c r="D4" s="41"/>
      <c r="E4" s="41"/>
      <c r="F4" s="41"/>
      <c r="H4" s="52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61</v>
      </c>
      <c r="C5" s="53">
        <f>C3+C4</f>
        <v>76560</v>
      </c>
      <c r="D5" s="54" t="s">
        <v>62</v>
      </c>
      <c r="E5" s="55">
        <f>C5/10.764</f>
        <v>7112.5975473801564</v>
      </c>
      <c r="F5" s="54" t="s">
        <v>63</v>
      </c>
      <c r="H5" s="56" t="s">
        <v>44</v>
      </c>
      <c r="I5" s="52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64</v>
      </c>
      <c r="C6" s="49">
        <v>22400</v>
      </c>
      <c r="D6" s="41"/>
      <c r="E6" s="41"/>
      <c r="F6" s="41"/>
      <c r="H6" s="57" t="s">
        <v>46</v>
      </c>
      <c r="I6" s="52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/>
      <c r="C7" s="49">
        <f>C5-C6</f>
        <v>54160</v>
      </c>
      <c r="D7" s="41"/>
      <c r="E7" s="41"/>
      <c r="F7" s="41"/>
      <c r="H7" s="56" t="s">
        <v>50</v>
      </c>
      <c r="I7" s="52">
        <v>0.8</v>
      </c>
      <c r="J7" s="41"/>
      <c r="K7" s="56" t="s">
        <v>46</v>
      </c>
      <c r="L7" s="52">
        <v>0.05</v>
      </c>
    </row>
    <row r="8" spans="2:12" ht="30" x14ac:dyDescent="0.25">
      <c r="B8" s="58" t="s">
        <v>84</v>
      </c>
      <c r="C8" s="49">
        <f>C7*92%</f>
        <v>49827.200000000004</v>
      </c>
      <c r="D8" s="41"/>
      <c r="E8" s="41"/>
      <c r="F8" s="41"/>
      <c r="H8" s="56" t="s">
        <v>51</v>
      </c>
      <c r="I8" s="52">
        <v>0.7</v>
      </c>
      <c r="J8" s="41"/>
      <c r="K8" s="59" t="s">
        <v>52</v>
      </c>
      <c r="L8" s="52">
        <v>0.1</v>
      </c>
    </row>
    <row r="9" spans="2:12" x14ac:dyDescent="0.25">
      <c r="B9" s="41" t="s">
        <v>65</v>
      </c>
      <c r="C9" s="53">
        <f>C6+C8</f>
        <v>72227.200000000012</v>
      </c>
      <c r="D9" s="54" t="s">
        <v>62</v>
      </c>
      <c r="E9" s="55">
        <f>C9/10.764</f>
        <v>6710.0706057227808</v>
      </c>
      <c r="F9" s="54" t="s">
        <v>63</v>
      </c>
      <c r="H9" s="56" t="s">
        <v>53</v>
      </c>
      <c r="I9" s="52">
        <v>0.6</v>
      </c>
      <c r="J9" s="41"/>
      <c r="K9" s="41" t="s">
        <v>54</v>
      </c>
      <c r="L9" s="52">
        <v>0.15</v>
      </c>
    </row>
    <row r="10" spans="2:12" x14ac:dyDescent="0.25">
      <c r="C10" s="60"/>
      <c r="H10" s="41" t="s">
        <v>55</v>
      </c>
      <c r="I10" s="52">
        <v>0.5</v>
      </c>
      <c r="J10" s="41"/>
      <c r="K10" s="41" t="s">
        <v>56</v>
      </c>
      <c r="L10" s="52">
        <v>0.2</v>
      </c>
    </row>
    <row r="11" spans="2:12" x14ac:dyDescent="0.25">
      <c r="B11" s="47" t="s">
        <v>69</v>
      </c>
      <c r="C11" s="62">
        <v>2023</v>
      </c>
      <c r="H11" s="41" t="s">
        <v>57</v>
      </c>
      <c r="I11" s="52">
        <v>0.4</v>
      </c>
      <c r="J11" s="41"/>
      <c r="K11" s="41"/>
      <c r="L11" s="41"/>
    </row>
    <row r="12" spans="2:12" x14ac:dyDescent="0.25">
      <c r="B12" s="47" t="s">
        <v>70</v>
      </c>
      <c r="C12" s="62">
        <v>2015</v>
      </c>
      <c r="D12" s="61"/>
      <c r="H12" s="41" t="s">
        <v>58</v>
      </c>
      <c r="I12" s="52">
        <v>0.3</v>
      </c>
      <c r="J12" s="41"/>
      <c r="K12" s="41"/>
      <c r="L12" s="41"/>
    </row>
    <row r="13" spans="2:12" x14ac:dyDescent="0.25">
      <c r="B13" s="47" t="s">
        <v>71</v>
      </c>
      <c r="C13" s="62">
        <f>C11-C12</f>
        <v>8</v>
      </c>
    </row>
    <row r="15" spans="2:12" x14ac:dyDescent="0.25">
      <c r="B15" s="41" t="s">
        <v>59</v>
      </c>
      <c r="C15" s="49">
        <v>93700</v>
      </c>
      <c r="D15" s="41"/>
      <c r="E15" s="41"/>
      <c r="F15" s="41"/>
    </row>
    <row r="16" spans="2:12" x14ac:dyDescent="0.25">
      <c r="B16" s="41" t="s">
        <v>60</v>
      </c>
      <c r="C16" s="49">
        <f>C15*5%</f>
        <v>4685</v>
      </c>
      <c r="D16" s="41"/>
      <c r="E16" s="41"/>
      <c r="F16" s="41"/>
      <c r="K16" s="18"/>
    </row>
    <row r="17" spans="2:11" x14ac:dyDescent="0.25">
      <c r="B17" s="41" t="s">
        <v>61</v>
      </c>
      <c r="C17" s="53">
        <f>C15+C16</f>
        <v>98385</v>
      </c>
      <c r="D17" s="54" t="s">
        <v>62</v>
      </c>
      <c r="E17" s="55">
        <f>C17/10.764</f>
        <v>9140.1895206243044</v>
      </c>
      <c r="F17" s="54" t="s">
        <v>63</v>
      </c>
      <c r="K17" s="18"/>
    </row>
    <row r="18" spans="2:11" ht="16.5" x14ac:dyDescent="0.3">
      <c r="B18" s="41" t="s">
        <v>66</v>
      </c>
      <c r="C18" s="49">
        <v>26620</v>
      </c>
      <c r="D18" s="41"/>
      <c r="E18" s="41"/>
      <c r="F18" s="41"/>
      <c r="K18" s="69"/>
    </row>
    <row r="19" spans="2:11" x14ac:dyDescent="0.25">
      <c r="B19" s="41" t="s">
        <v>67</v>
      </c>
      <c r="C19" s="49">
        <f>C17-C18</f>
        <v>71765</v>
      </c>
      <c r="D19" s="41"/>
      <c r="E19" s="41"/>
      <c r="F19" s="41"/>
    </row>
    <row r="20" spans="2:11" ht="45" x14ac:dyDescent="0.25">
      <c r="B20" s="58" t="s">
        <v>68</v>
      </c>
      <c r="C20" s="49">
        <f>C18*80%</f>
        <v>21296</v>
      </c>
      <c r="D20" s="41"/>
      <c r="E20" s="41"/>
      <c r="F20" s="41"/>
    </row>
    <row r="21" spans="2:11" x14ac:dyDescent="0.25">
      <c r="B21" s="41" t="s">
        <v>65</v>
      </c>
      <c r="C21" s="53">
        <f>C19+C20</f>
        <v>93061</v>
      </c>
      <c r="D21" s="54" t="s">
        <v>62</v>
      </c>
      <c r="E21" s="55">
        <f>C21/10.764</f>
        <v>8645.5778520995918</v>
      </c>
      <c r="F21" s="54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D24FD-773D-4925-99AF-0FFAF6A2C341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DD12C-75EE-4B67-A7C9-DEEBD135A93C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B8A68-5560-48FB-99C7-4759FBB5C1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22B6E-0988-4865-92AF-B0B1E2D17B1E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944EC-990C-465C-899E-E8762140675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560E-5E5E-4E2B-8B9B-6A3F289F938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D8ADB-B4FD-4610-BFD4-AEC7F7DF82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56799-88F4-41F4-9706-DACD8944FB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D1" zoomScaleNormal="100" workbookViewId="0">
      <selection activeCell="AA23" sqref="AA22:AA2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8"/>
      <c r="L1" s="128"/>
      <c r="M1" s="128"/>
      <c r="N1" s="128"/>
      <c r="O1" s="128"/>
      <c r="P1" s="128"/>
      <c r="Q1" s="128"/>
      <c r="R1" s="128"/>
    </row>
    <row r="2" spans="1:23" ht="16.5" x14ac:dyDescent="0.3">
      <c r="A2" s="38">
        <v>10</v>
      </c>
      <c r="B2" s="38">
        <v>4.5</v>
      </c>
      <c r="C2" s="38">
        <v>9</v>
      </c>
      <c r="D2" s="38">
        <v>0</v>
      </c>
      <c r="E2" s="39">
        <v>15</v>
      </c>
      <c r="F2" s="39">
        <v>3</v>
      </c>
      <c r="G2" s="39">
        <v>8</v>
      </c>
      <c r="H2" s="39">
        <v>4</v>
      </c>
      <c r="I2" s="40">
        <f t="shared" ref="I2" si="0">G2*H2</f>
        <v>32</v>
      </c>
      <c r="J2" s="40">
        <f>I2</f>
        <v>32</v>
      </c>
      <c r="K2" s="41" t="s">
        <v>95</v>
      </c>
      <c r="L2" s="41">
        <v>15.28</v>
      </c>
      <c r="M2" s="41">
        <v>10.11</v>
      </c>
      <c r="N2" s="42">
        <f>L2*M2</f>
        <v>154.48079999999999</v>
      </c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15</v>
      </c>
      <c r="B3" s="38">
        <v>0</v>
      </c>
      <c r="C3" s="38">
        <v>9</v>
      </c>
      <c r="D3" s="38">
        <v>0</v>
      </c>
      <c r="E3" s="39">
        <f t="shared" ref="E3:I23" si="1">B3/12</f>
        <v>0</v>
      </c>
      <c r="F3" s="39">
        <f t="shared" ref="F3:F30" si="2">D3/12</f>
        <v>0</v>
      </c>
      <c r="G3" s="39">
        <f t="shared" ref="G3:G30" si="3">A3+E3</f>
        <v>15</v>
      </c>
      <c r="H3" s="39">
        <f t="shared" ref="H3:H30" si="4">C3+F3</f>
        <v>9</v>
      </c>
      <c r="I3" s="40">
        <f t="shared" ref="I3:I22" si="5">G3*H3</f>
        <v>135</v>
      </c>
      <c r="J3" s="40">
        <f>J2+I3</f>
        <v>167</v>
      </c>
      <c r="K3" s="41" t="s">
        <v>94</v>
      </c>
      <c r="L3" s="41">
        <v>16.02</v>
      </c>
      <c r="M3" s="41">
        <v>3.22</v>
      </c>
      <c r="N3" s="42">
        <f t="shared" ref="N3:N13" si="6">L3*M3</f>
        <v>51.584400000000002</v>
      </c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8</v>
      </c>
      <c r="B4" s="38">
        <v>0</v>
      </c>
      <c r="C4" s="38">
        <v>7</v>
      </c>
      <c r="D4" s="38">
        <v>0</v>
      </c>
      <c r="E4" s="39">
        <f t="shared" si="1"/>
        <v>0</v>
      </c>
      <c r="F4" s="39">
        <f t="shared" si="2"/>
        <v>0</v>
      </c>
      <c r="G4" s="39">
        <f t="shared" si="3"/>
        <v>8</v>
      </c>
      <c r="H4" s="39">
        <f t="shared" si="4"/>
        <v>7</v>
      </c>
      <c r="I4" s="40">
        <f t="shared" si="5"/>
        <v>56</v>
      </c>
      <c r="J4" s="40">
        <f t="shared" ref="J4:J30" si="7">J3+I4</f>
        <v>223</v>
      </c>
      <c r="K4" s="75" t="s">
        <v>99</v>
      </c>
      <c r="L4" s="41">
        <v>11.28</v>
      </c>
      <c r="M4" s="41">
        <v>7.03</v>
      </c>
      <c r="N4" s="42">
        <f t="shared" si="6"/>
        <v>79.298400000000001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3</v>
      </c>
      <c r="B5" s="38">
        <v>0</v>
      </c>
      <c r="C5" s="38">
        <v>11</v>
      </c>
      <c r="D5" s="38">
        <v>0</v>
      </c>
      <c r="E5" s="39">
        <f t="shared" si="1"/>
        <v>0</v>
      </c>
      <c r="F5" s="39">
        <f t="shared" si="2"/>
        <v>0</v>
      </c>
      <c r="G5" s="39">
        <f t="shared" si="3"/>
        <v>3</v>
      </c>
      <c r="H5" s="39">
        <f t="shared" si="4"/>
        <v>11</v>
      </c>
      <c r="I5" s="40">
        <f t="shared" si="5"/>
        <v>33</v>
      </c>
      <c r="J5" s="40">
        <f t="shared" si="7"/>
        <v>256</v>
      </c>
      <c r="K5" s="41" t="s">
        <v>93</v>
      </c>
      <c r="L5" s="41">
        <v>11.12</v>
      </c>
      <c r="M5" s="41">
        <v>11.16</v>
      </c>
      <c r="N5" s="42">
        <f t="shared" si="6"/>
        <v>124.0992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3</v>
      </c>
      <c r="B6" s="38">
        <v>6</v>
      </c>
      <c r="C6" s="38">
        <v>7</v>
      </c>
      <c r="D6" s="38">
        <v>0</v>
      </c>
      <c r="E6" s="39">
        <f t="shared" si="1"/>
        <v>0.5</v>
      </c>
      <c r="F6" s="39">
        <f t="shared" si="2"/>
        <v>0</v>
      </c>
      <c r="G6" s="39">
        <f t="shared" si="3"/>
        <v>3.5</v>
      </c>
      <c r="H6" s="39">
        <f t="shared" si="4"/>
        <v>7</v>
      </c>
      <c r="I6" s="40">
        <f t="shared" si="5"/>
        <v>24.5</v>
      </c>
      <c r="J6" s="40">
        <f t="shared" si="7"/>
        <v>280.5</v>
      </c>
      <c r="K6" s="41" t="s">
        <v>100</v>
      </c>
      <c r="L6" s="41">
        <v>3.61</v>
      </c>
      <c r="M6" s="41">
        <v>6.54</v>
      </c>
      <c r="N6" s="42">
        <f t="shared" si="6"/>
        <v>23.609400000000001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1"/>
        <v>0</v>
      </c>
      <c r="F7" s="39">
        <f t="shared" si="2"/>
        <v>0</v>
      </c>
      <c r="G7" s="39">
        <f t="shared" si="3"/>
        <v>0</v>
      </c>
      <c r="H7" s="39">
        <f t="shared" si="4"/>
        <v>0</v>
      </c>
      <c r="I7" s="40">
        <f t="shared" si="5"/>
        <v>0</v>
      </c>
      <c r="J7" s="40">
        <f t="shared" si="7"/>
        <v>280.5</v>
      </c>
      <c r="K7" s="41" t="s">
        <v>94</v>
      </c>
      <c r="L7" s="41">
        <v>4.49</v>
      </c>
      <c r="M7" s="41">
        <v>4.01</v>
      </c>
      <c r="N7" s="42">
        <f t="shared" si="6"/>
        <v>18.004899999999999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1"/>
        <v>0</v>
      </c>
      <c r="F8" s="39">
        <f t="shared" si="2"/>
        <v>0</v>
      </c>
      <c r="G8" s="39">
        <f t="shared" si="3"/>
        <v>0</v>
      </c>
      <c r="H8" s="39">
        <f t="shared" si="4"/>
        <v>0</v>
      </c>
      <c r="I8" s="40">
        <f t="shared" si="5"/>
        <v>0</v>
      </c>
      <c r="J8" s="40">
        <f t="shared" si="7"/>
        <v>280.5</v>
      </c>
      <c r="K8" s="41" t="s">
        <v>93</v>
      </c>
      <c r="L8" s="41">
        <v>10.14</v>
      </c>
      <c r="M8" s="41">
        <v>12.94</v>
      </c>
      <c r="N8" s="42">
        <f t="shared" si="6"/>
        <v>131.2116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1"/>
        <v>0</v>
      </c>
      <c r="F9" s="39">
        <f t="shared" si="2"/>
        <v>0</v>
      </c>
      <c r="G9" s="39">
        <f t="shared" si="3"/>
        <v>0</v>
      </c>
      <c r="H9" s="39">
        <f t="shared" si="4"/>
        <v>0</v>
      </c>
      <c r="I9" s="40">
        <f t="shared" si="5"/>
        <v>0</v>
      </c>
      <c r="J9" s="40">
        <f t="shared" si="7"/>
        <v>280.5</v>
      </c>
      <c r="K9" s="41" t="s">
        <v>100</v>
      </c>
      <c r="L9" s="41">
        <v>4.1900000000000004</v>
      </c>
      <c r="M9" s="41">
        <v>7.01</v>
      </c>
      <c r="N9" s="42">
        <f t="shared" si="6"/>
        <v>29.3719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1"/>
        <v>0</v>
      </c>
      <c r="F10" s="39">
        <f t="shared" si="2"/>
        <v>0</v>
      </c>
      <c r="G10" s="39">
        <f t="shared" si="3"/>
        <v>0</v>
      </c>
      <c r="H10" s="39">
        <f t="shared" si="4"/>
        <v>0</v>
      </c>
      <c r="I10" s="40">
        <f t="shared" si="5"/>
        <v>0</v>
      </c>
      <c r="J10" s="40">
        <f t="shared" si="7"/>
        <v>280.5</v>
      </c>
      <c r="K10" s="41" t="s">
        <v>93</v>
      </c>
      <c r="L10" s="41">
        <v>12.88</v>
      </c>
      <c r="M10" s="41">
        <v>10.039999999999999</v>
      </c>
      <c r="N10" s="42">
        <f t="shared" si="6"/>
        <v>129.3152</v>
      </c>
      <c r="O10" s="96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1"/>
        <v>0</v>
      </c>
      <c r="F11" s="39">
        <f t="shared" si="2"/>
        <v>0</v>
      </c>
      <c r="G11" s="39">
        <f t="shared" si="3"/>
        <v>0</v>
      </c>
      <c r="H11" s="39">
        <f t="shared" si="4"/>
        <v>0</v>
      </c>
      <c r="I11" s="40">
        <f t="shared" si="5"/>
        <v>0</v>
      </c>
      <c r="J11" s="40">
        <f t="shared" si="7"/>
        <v>280.5</v>
      </c>
      <c r="K11" s="41" t="s">
        <v>100</v>
      </c>
      <c r="L11" s="41">
        <v>3.91</v>
      </c>
      <c r="M11" s="41">
        <v>7.54</v>
      </c>
      <c r="N11" s="42">
        <f t="shared" si="6"/>
        <v>29.481400000000001</v>
      </c>
      <c r="O11" s="96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1"/>
        <v>0</v>
      </c>
      <c r="F12" s="39">
        <f t="shared" si="2"/>
        <v>0</v>
      </c>
      <c r="G12" s="39">
        <f t="shared" si="3"/>
        <v>0</v>
      </c>
      <c r="H12" s="39">
        <f t="shared" si="4"/>
        <v>0</v>
      </c>
      <c r="I12" s="46">
        <f t="shared" si="5"/>
        <v>0</v>
      </c>
      <c r="J12" s="40">
        <f>J11+I12</f>
        <v>280.5</v>
      </c>
      <c r="K12" s="41"/>
      <c r="L12" s="41">
        <v>1.22</v>
      </c>
      <c r="M12" s="41">
        <v>3.67</v>
      </c>
      <c r="N12" s="42">
        <f t="shared" si="6"/>
        <v>4.4773999999999994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1"/>
        <v>0</v>
      </c>
      <c r="F13" s="39">
        <f t="shared" si="2"/>
        <v>0</v>
      </c>
      <c r="G13" s="39">
        <f t="shared" si="3"/>
        <v>0</v>
      </c>
      <c r="H13" s="39">
        <f t="shared" si="4"/>
        <v>0</v>
      </c>
      <c r="I13" s="40">
        <f t="shared" si="5"/>
        <v>0</v>
      </c>
      <c r="J13" s="40">
        <f t="shared" si="7"/>
        <v>280.5</v>
      </c>
      <c r="K13" s="41"/>
      <c r="L13" s="41"/>
      <c r="M13" s="41"/>
      <c r="N13" s="42">
        <f t="shared" si="6"/>
        <v>0</v>
      </c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1"/>
        <v>0</v>
      </c>
      <c r="F14" s="39">
        <f t="shared" si="2"/>
        <v>0</v>
      </c>
      <c r="G14" s="39">
        <f t="shared" si="3"/>
        <v>0</v>
      </c>
      <c r="H14" s="39">
        <f t="shared" si="4"/>
        <v>0</v>
      </c>
      <c r="I14" s="40">
        <f t="shared" si="5"/>
        <v>0</v>
      </c>
      <c r="J14" s="40">
        <f t="shared" si="7"/>
        <v>280.5</v>
      </c>
      <c r="K14" s="41"/>
      <c r="L14" s="41"/>
      <c r="M14" s="41"/>
      <c r="N14" s="96">
        <f>SUM(N2:N13)</f>
        <v>774.93460000000005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1"/>
        <v>0</v>
      </c>
      <c r="F15" s="48">
        <f t="shared" si="2"/>
        <v>0</v>
      </c>
      <c r="G15" s="48">
        <f t="shared" si="3"/>
        <v>0</v>
      </c>
      <c r="H15" s="48">
        <f t="shared" si="4"/>
        <v>0</v>
      </c>
      <c r="I15" s="46">
        <f t="shared" si="5"/>
        <v>0</v>
      </c>
      <c r="J15" s="40">
        <f t="shared" si="7"/>
        <v>280.5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5"/>
        <v>0</v>
      </c>
      <c r="J16" s="40">
        <f t="shared" si="7"/>
        <v>280.5</v>
      </c>
      <c r="K16" s="41"/>
      <c r="L16" s="41"/>
      <c r="M16" s="41"/>
      <c r="N16" s="41">
        <f>L16*M16</f>
        <v>0</v>
      </c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5"/>
        <v>0</v>
      </c>
      <c r="J17" s="40">
        <f t="shared" si="7"/>
        <v>280.5</v>
      </c>
      <c r="K17" s="75"/>
      <c r="L17" s="75"/>
      <c r="M17" s="75"/>
      <c r="N17" s="41">
        <f t="shared" ref="N17:N18" si="8">L17*M17</f>
        <v>0</v>
      </c>
      <c r="O17" s="75"/>
      <c r="P17" s="75"/>
      <c r="Q17" s="75"/>
      <c r="R17" s="74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7"/>
        <v>280.5</v>
      </c>
      <c r="K18" s="75"/>
      <c r="L18" s="75"/>
      <c r="M18" s="75"/>
      <c r="N18" s="41">
        <f t="shared" si="8"/>
        <v>0</v>
      </c>
      <c r="O18" s="75"/>
      <c r="P18" s="75"/>
      <c r="Q18" s="75"/>
      <c r="R18" s="76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1"/>
        <v>0</v>
      </c>
      <c r="F19" s="48">
        <f t="shared" si="2"/>
        <v>0</v>
      </c>
      <c r="G19" s="48">
        <f t="shared" si="3"/>
        <v>0</v>
      </c>
      <c r="H19" s="48">
        <f t="shared" si="4"/>
        <v>0</v>
      </c>
      <c r="I19" s="46">
        <f t="shared" si="5"/>
        <v>0</v>
      </c>
      <c r="J19" s="40">
        <f t="shared" si="7"/>
        <v>280.5</v>
      </c>
      <c r="K19" s="75"/>
      <c r="L19" s="75"/>
      <c r="M19" s="75"/>
      <c r="N19" s="76">
        <f>SUM(N16:N18)</f>
        <v>0</v>
      </c>
      <c r="O19" s="77"/>
      <c r="P19" s="75"/>
      <c r="Q19" s="75"/>
      <c r="R19" s="74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280.5</v>
      </c>
      <c r="K20" s="75"/>
      <c r="L20" s="75"/>
      <c r="M20" s="75"/>
      <c r="N20" s="41"/>
      <c r="O20" s="75"/>
      <c r="P20" s="78"/>
      <c r="Q20" s="78"/>
      <c r="R20" s="74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1"/>
        <v>0</v>
      </c>
      <c r="F21" s="48">
        <f t="shared" si="2"/>
        <v>0</v>
      </c>
      <c r="G21" s="48">
        <f t="shared" si="3"/>
        <v>0</v>
      </c>
      <c r="H21" s="48">
        <f t="shared" si="4"/>
        <v>0</v>
      </c>
      <c r="I21" s="46">
        <f t="shared" si="5"/>
        <v>0</v>
      </c>
      <c r="J21" s="40">
        <f t="shared" si="7"/>
        <v>280.5</v>
      </c>
      <c r="K21" s="75"/>
      <c r="L21" s="75"/>
      <c r="M21" s="75"/>
      <c r="O21" s="75"/>
      <c r="P21" s="75"/>
      <c r="Q21" s="75"/>
      <c r="R21" s="76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1"/>
        <v>0</v>
      </c>
      <c r="F22" s="48">
        <f t="shared" si="2"/>
        <v>0</v>
      </c>
      <c r="G22" s="48">
        <f t="shared" si="3"/>
        <v>0</v>
      </c>
      <c r="H22" s="48">
        <f t="shared" si="4"/>
        <v>0</v>
      </c>
      <c r="I22" s="46">
        <f t="shared" si="5"/>
        <v>0</v>
      </c>
      <c r="J22" s="40">
        <f t="shared" si="7"/>
        <v>280.5</v>
      </c>
      <c r="K22" s="75"/>
      <c r="L22" s="75"/>
      <c r="M22" s="75"/>
      <c r="N22" s="74"/>
      <c r="O22" s="75"/>
      <c r="P22" s="75"/>
      <c r="Q22" s="75"/>
      <c r="R22" s="74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1"/>
        <v>0</v>
      </c>
      <c r="F23" s="48">
        <f t="shared" si="1"/>
        <v>0</v>
      </c>
      <c r="G23" s="48">
        <f t="shared" si="1"/>
        <v>0</v>
      </c>
      <c r="H23" s="48">
        <f t="shared" si="1"/>
        <v>0</v>
      </c>
      <c r="I23" s="48">
        <f t="shared" si="1"/>
        <v>0</v>
      </c>
      <c r="J23" s="40">
        <f t="shared" si="7"/>
        <v>280.5</v>
      </c>
      <c r="K23" s="75"/>
      <c r="L23" s="75"/>
      <c r="M23" s="75"/>
      <c r="N23" s="79"/>
      <c r="O23" s="75"/>
      <c r="P23" s="75"/>
      <c r="Q23" s="75"/>
      <c r="R23" s="74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9">B24/12</f>
        <v>0</v>
      </c>
      <c r="F24" s="48">
        <f t="shared" si="9"/>
        <v>0</v>
      </c>
      <c r="G24" s="48">
        <f t="shared" si="9"/>
        <v>0</v>
      </c>
      <c r="H24" s="48">
        <f t="shared" si="9"/>
        <v>0</v>
      </c>
      <c r="I24" s="48">
        <f t="shared" si="9"/>
        <v>0</v>
      </c>
      <c r="J24" s="40">
        <f t="shared" si="7"/>
        <v>280.5</v>
      </c>
      <c r="K24" s="75"/>
      <c r="L24" s="75"/>
      <c r="M24" s="80"/>
      <c r="N24" s="76"/>
      <c r="O24" s="77"/>
      <c r="P24" s="75"/>
      <c r="Q24" s="75"/>
      <c r="R24" s="7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9"/>
        <v>0</v>
      </c>
      <c r="F25" s="48">
        <f t="shared" si="9"/>
        <v>0</v>
      </c>
      <c r="G25" s="48">
        <f t="shared" si="9"/>
        <v>0</v>
      </c>
      <c r="H25" s="48">
        <f t="shared" si="9"/>
        <v>0</v>
      </c>
      <c r="I25" s="48">
        <f t="shared" si="9"/>
        <v>0</v>
      </c>
      <c r="J25" s="40">
        <f t="shared" si="7"/>
        <v>280.5</v>
      </c>
      <c r="K25" s="75"/>
      <c r="L25" s="75"/>
      <c r="M25" s="80"/>
      <c r="N25" s="81"/>
      <c r="O25" s="75"/>
      <c r="P25" s="75"/>
      <c r="Q25" s="75"/>
      <c r="R25" s="75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9"/>
        <v>0</v>
      </c>
      <c r="F26" s="48">
        <f t="shared" si="9"/>
        <v>0</v>
      </c>
      <c r="G26" s="48">
        <f t="shared" si="9"/>
        <v>0</v>
      </c>
      <c r="H26" s="48">
        <f t="shared" si="9"/>
        <v>0</v>
      </c>
      <c r="I26" s="48">
        <f t="shared" si="9"/>
        <v>0</v>
      </c>
      <c r="J26" s="40">
        <f t="shared" si="7"/>
        <v>280.5</v>
      </c>
      <c r="K26" s="75"/>
      <c r="L26" s="75"/>
      <c r="M26" s="80"/>
      <c r="N26" s="75"/>
      <c r="O26" s="75"/>
      <c r="P26" s="75"/>
      <c r="Q26" s="75"/>
      <c r="R26" s="75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9"/>
        <v>0</v>
      </c>
      <c r="F27" s="48">
        <f t="shared" si="9"/>
        <v>0</v>
      </c>
      <c r="G27" s="48">
        <f t="shared" si="9"/>
        <v>0</v>
      </c>
      <c r="H27" s="48">
        <f t="shared" si="9"/>
        <v>0</v>
      </c>
      <c r="I27" s="48">
        <f t="shared" si="9"/>
        <v>0</v>
      </c>
      <c r="J27" s="40">
        <f t="shared" si="7"/>
        <v>280.5</v>
      </c>
      <c r="K27" s="75"/>
      <c r="L27" s="75"/>
      <c r="M27" s="75"/>
      <c r="N27" s="82"/>
      <c r="O27" s="75"/>
      <c r="P27" s="75"/>
      <c r="Q27" s="75"/>
      <c r="R27" s="75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9"/>
        <v>0</v>
      </c>
      <c r="F28" s="48">
        <f t="shared" si="9"/>
        <v>0</v>
      </c>
      <c r="G28" s="48">
        <f t="shared" si="9"/>
        <v>0</v>
      </c>
      <c r="H28" s="48">
        <f t="shared" si="9"/>
        <v>0</v>
      </c>
      <c r="I28" s="48">
        <f t="shared" si="9"/>
        <v>0</v>
      </c>
      <c r="J28" s="40">
        <f t="shared" si="7"/>
        <v>280.5</v>
      </c>
      <c r="K28" s="75"/>
      <c r="L28" s="75"/>
      <c r="M28" s="75"/>
      <c r="N28" s="75"/>
      <c r="O28" s="75"/>
      <c r="P28" s="75"/>
      <c r="Q28" s="75"/>
      <c r="R28" s="77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9"/>
        <v>0</v>
      </c>
      <c r="F29" s="48">
        <f t="shared" si="2"/>
        <v>0</v>
      </c>
      <c r="G29" s="48">
        <f t="shared" si="3"/>
        <v>0</v>
      </c>
      <c r="H29" s="48">
        <f t="shared" si="4"/>
        <v>0</v>
      </c>
      <c r="I29" s="46">
        <f t="shared" ref="I29:I30" si="10">G29*H29</f>
        <v>0</v>
      </c>
      <c r="J29" s="40">
        <f t="shared" si="7"/>
        <v>280.5</v>
      </c>
      <c r="K29" s="75"/>
      <c r="L29" s="75"/>
      <c r="M29" s="75"/>
      <c r="N29" s="77"/>
      <c r="O29" s="75"/>
      <c r="P29" s="83"/>
      <c r="Q29" s="83"/>
      <c r="R29" s="75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9"/>
        <v>0</v>
      </c>
      <c r="F30" s="48">
        <f t="shared" si="2"/>
        <v>0</v>
      </c>
      <c r="G30" s="48">
        <f t="shared" si="3"/>
        <v>0</v>
      </c>
      <c r="H30" s="48">
        <f t="shared" si="4"/>
        <v>0</v>
      </c>
      <c r="I30" s="46">
        <f t="shared" si="10"/>
        <v>0</v>
      </c>
      <c r="J30" s="40">
        <f t="shared" si="7"/>
        <v>280.5</v>
      </c>
      <c r="K30" s="75"/>
      <c r="L30" s="75"/>
      <c r="M30" s="75"/>
      <c r="N30" s="75"/>
      <c r="O30" s="75"/>
      <c r="P30" s="84"/>
      <c r="Q30" s="84"/>
      <c r="R30" s="75"/>
    </row>
    <row r="31" spans="1:21" x14ac:dyDescent="0.25">
      <c r="N31">
        <f>N30*10.764</f>
        <v>0</v>
      </c>
    </row>
    <row r="33" spans="13:17" x14ac:dyDescent="0.25">
      <c r="M33" s="6"/>
      <c r="P33" s="50"/>
      <c r="Q33" s="50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zoomScale="85" zoomScaleNormal="85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11" x14ac:dyDescent="0.25">
      <c r="A1" s="11"/>
      <c r="B1" s="12"/>
      <c r="C1" s="13"/>
      <c r="D1" s="14"/>
    </row>
    <row r="2" spans="1:11" x14ac:dyDescent="0.25">
      <c r="A2" s="15"/>
      <c r="C2" s="16" t="s">
        <v>79</v>
      </c>
      <c r="D2" s="17"/>
      <c r="H2" t="s">
        <v>82</v>
      </c>
    </row>
    <row r="3" spans="1:11" x14ac:dyDescent="0.25">
      <c r="A3" s="15" t="s">
        <v>13</v>
      </c>
      <c r="B3" s="19"/>
      <c r="C3" s="20">
        <v>24000</v>
      </c>
      <c r="D3" s="21" t="s">
        <v>91</v>
      </c>
      <c r="H3">
        <v>30250</v>
      </c>
      <c r="K3">
        <v>26620</v>
      </c>
    </row>
    <row r="4" spans="1:11" ht="30" x14ac:dyDescent="0.25">
      <c r="A4" s="22" t="s">
        <v>14</v>
      </c>
      <c r="B4" s="19"/>
      <c r="C4" s="20">
        <v>3000</v>
      </c>
      <c r="D4" s="23"/>
      <c r="H4">
        <f>H3/100*105</f>
        <v>31762.5</v>
      </c>
      <c r="K4">
        <f>K3/100*115</f>
        <v>30613</v>
      </c>
    </row>
    <row r="5" spans="1:11" ht="16.5" x14ac:dyDescent="0.3">
      <c r="A5" s="15" t="s">
        <v>15</v>
      </c>
      <c r="B5" s="19"/>
      <c r="C5" s="20">
        <f>C3-C4</f>
        <v>21000</v>
      </c>
      <c r="D5" s="23"/>
      <c r="H5" s="39">
        <f>H4/10.764</f>
        <v>2950.8082497212936</v>
      </c>
      <c r="K5" s="39">
        <f>K4/10.764</f>
        <v>2844.0170940170942</v>
      </c>
    </row>
    <row r="6" spans="1:11" x14ac:dyDescent="0.25">
      <c r="A6" s="15" t="s">
        <v>16</v>
      </c>
      <c r="B6" s="19"/>
      <c r="C6" s="20">
        <f>C4</f>
        <v>3000</v>
      </c>
      <c r="D6" s="23"/>
    </row>
    <row r="7" spans="1:11" x14ac:dyDescent="0.25">
      <c r="A7" s="15" t="s">
        <v>17</v>
      </c>
      <c r="B7" s="24"/>
      <c r="C7" s="25">
        <f>D9</f>
        <v>18</v>
      </c>
      <c r="D7" s="25">
        <v>2023</v>
      </c>
      <c r="F7" t="s">
        <v>97</v>
      </c>
    </row>
    <row r="8" spans="1:11" x14ac:dyDescent="0.25">
      <c r="A8" s="15" t="s">
        <v>18</v>
      </c>
      <c r="B8" s="24"/>
      <c r="C8" s="25">
        <f>C9-C7</f>
        <v>42</v>
      </c>
      <c r="D8" s="25">
        <v>2005</v>
      </c>
      <c r="G8" t="s">
        <v>98</v>
      </c>
    </row>
    <row r="9" spans="1:11" x14ac:dyDescent="0.25">
      <c r="A9" s="15" t="s">
        <v>19</v>
      </c>
      <c r="B9" s="24"/>
      <c r="C9" s="25">
        <v>60</v>
      </c>
      <c r="D9" s="25">
        <f>D7-D8</f>
        <v>18</v>
      </c>
    </row>
    <row r="10" spans="1:11" ht="30" x14ac:dyDescent="0.25">
      <c r="A10" s="22" t="s">
        <v>20</v>
      </c>
      <c r="B10" s="24"/>
      <c r="C10" s="25">
        <f>90*C7/C9</f>
        <v>27</v>
      </c>
      <c r="D10" s="25"/>
    </row>
    <row r="11" spans="1:11" x14ac:dyDescent="0.25">
      <c r="A11" s="15"/>
      <c r="B11" s="26"/>
      <c r="C11" s="27">
        <f>C10%</f>
        <v>0.27</v>
      </c>
      <c r="D11" s="27"/>
    </row>
    <row r="12" spans="1:11" x14ac:dyDescent="0.25">
      <c r="A12" s="15" t="s">
        <v>21</v>
      </c>
      <c r="B12" s="19"/>
      <c r="C12" s="20">
        <f>C6*C11</f>
        <v>810</v>
      </c>
      <c r="D12" s="23"/>
    </row>
    <row r="13" spans="1:11" x14ac:dyDescent="0.25">
      <c r="A13" s="15" t="s">
        <v>22</v>
      </c>
      <c r="B13" s="19"/>
      <c r="C13" s="20">
        <f>C6-C12</f>
        <v>2190</v>
      </c>
      <c r="D13" s="23"/>
    </row>
    <row r="14" spans="1:11" x14ac:dyDescent="0.25">
      <c r="A14" s="15" t="s">
        <v>15</v>
      </c>
      <c r="B14" s="19"/>
      <c r="C14" s="20">
        <f>C5</f>
        <v>21000</v>
      </c>
      <c r="D14" s="23"/>
    </row>
    <row r="15" spans="1:11" x14ac:dyDescent="0.25">
      <c r="B15" s="19"/>
      <c r="C15" s="20"/>
      <c r="D15" s="23"/>
    </row>
    <row r="16" spans="1:11" x14ac:dyDescent="0.25">
      <c r="A16" s="28" t="s">
        <v>23</v>
      </c>
      <c r="B16" s="29"/>
      <c r="C16" s="21">
        <f>C14+C13</f>
        <v>23190</v>
      </c>
      <c r="D16" s="23"/>
      <c r="E16" s="61"/>
    </row>
    <row r="17" spans="1:6" x14ac:dyDescent="0.25">
      <c r="B17" s="24"/>
      <c r="C17" s="25"/>
      <c r="D17" s="23"/>
    </row>
    <row r="18" spans="1:6" ht="16.5" x14ac:dyDescent="0.3">
      <c r="A18" s="28" t="s">
        <v>78</v>
      </c>
      <c r="B18" s="7"/>
      <c r="C18" s="70">
        <v>765</v>
      </c>
      <c r="D18" s="23"/>
      <c r="E18" s="71"/>
    </row>
    <row r="19" spans="1:6" x14ac:dyDescent="0.25">
      <c r="A19" s="15"/>
      <c r="B19" s="6"/>
      <c r="C19" s="30">
        <f>C18*C16</f>
        <v>17740350</v>
      </c>
      <c r="D19" s="30">
        <f>D18*D16</f>
        <v>0</v>
      </c>
      <c r="E19" s="30">
        <f>E18*E16</f>
        <v>0</v>
      </c>
      <c r="F19" t="s">
        <v>74</v>
      </c>
    </row>
    <row r="20" spans="1:6" x14ac:dyDescent="0.25">
      <c r="A20" s="15"/>
      <c r="C20" s="31">
        <f>C19*90%</f>
        <v>15966315</v>
      </c>
      <c r="D20" s="31">
        <f>D19*90%</f>
        <v>0</v>
      </c>
      <c r="E20" s="31">
        <f>E19*90%</f>
        <v>0</v>
      </c>
      <c r="F20" t="s">
        <v>24</v>
      </c>
    </row>
    <row r="21" spans="1:6" x14ac:dyDescent="0.25">
      <c r="A21" s="15"/>
      <c r="C21" s="31">
        <f>C19*80%</f>
        <v>14192280</v>
      </c>
      <c r="D21" s="31">
        <f>D19*80%</f>
        <v>0</v>
      </c>
      <c r="E21" s="31">
        <f>E19*80%</f>
        <v>0</v>
      </c>
      <c r="F21" t="s">
        <v>25</v>
      </c>
    </row>
    <row r="22" spans="1:6" x14ac:dyDescent="0.25">
      <c r="A22" s="15"/>
    </row>
    <row r="23" spans="1:6" x14ac:dyDescent="0.25">
      <c r="A23" s="32" t="s">
        <v>26</v>
      </c>
      <c r="B23" s="33"/>
      <c r="C23" s="34">
        <f>C4*E27</f>
        <v>2295000</v>
      </c>
      <c r="D23" s="34">
        <f>D4*D18</f>
        <v>0</v>
      </c>
    </row>
    <row r="24" spans="1:6" x14ac:dyDescent="0.25">
      <c r="A24" s="15" t="s">
        <v>27</v>
      </c>
    </row>
    <row r="25" spans="1:6" x14ac:dyDescent="0.25">
      <c r="A25" s="35" t="s">
        <v>28</v>
      </c>
      <c r="B25" s="16"/>
      <c r="C25" s="31">
        <f>C19*0.03/12</f>
        <v>44350.875</v>
      </c>
      <c r="D25" s="31"/>
    </row>
    <row r="26" spans="1:6" x14ac:dyDescent="0.25">
      <c r="C26" s="31"/>
      <c r="D26" s="31" t="s">
        <v>80</v>
      </c>
    </row>
    <row r="27" spans="1:6" x14ac:dyDescent="0.25">
      <c r="C27" s="31"/>
      <c r="D27" s="31" t="s">
        <v>81</v>
      </c>
      <c r="E27">
        <v>765</v>
      </c>
    </row>
    <row r="28" spans="1:6" x14ac:dyDescent="0.25">
      <c r="C28"/>
      <c r="D28"/>
      <c r="E28" s="61">
        <f>E27*C4</f>
        <v>2295000</v>
      </c>
    </row>
    <row r="29" spans="1:6" x14ac:dyDescent="0.25">
      <c r="C29"/>
      <c r="D29"/>
    </row>
    <row r="30" spans="1:6" x14ac:dyDescent="0.25">
      <c r="C30"/>
      <c r="D30"/>
    </row>
    <row r="31" spans="1:6" ht="16.5" x14ac:dyDescent="0.3">
      <c r="C31"/>
      <c r="D31"/>
      <c r="E31" s="40"/>
    </row>
    <row r="32" spans="1:6" ht="16.5" x14ac:dyDescent="0.3">
      <c r="C32"/>
      <c r="D32"/>
      <c r="E32" s="40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56"/>
  <sheetViews>
    <sheetView tabSelected="1" zoomScale="85" zoomScaleNormal="85" workbookViewId="0">
      <selection activeCell="G10" sqref="F10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6.42578125" customWidth="1"/>
    <col min="5" max="5" width="18.7109375" customWidth="1"/>
    <col min="6" max="6" width="15.42578125" customWidth="1"/>
    <col min="7" max="7" width="20.85546875" customWidth="1"/>
    <col min="8" max="8" width="15.7109375" customWidth="1"/>
    <col min="9" max="9" width="11.85546875" customWidth="1"/>
    <col min="10" max="10" width="9.85546875" customWidth="1"/>
    <col min="11" max="13" width="0" hidden="1" customWidth="1"/>
    <col min="14" max="14" width="16.42578125" customWidth="1"/>
    <col min="15" max="15" width="8" customWidth="1"/>
    <col min="16" max="16" width="14.7109375" customWidth="1"/>
    <col min="17" max="17" width="17.42578125" customWidth="1"/>
    <col min="18" max="18" width="16.140625" customWidth="1"/>
    <col min="19" max="19" width="16" customWidth="1"/>
    <col min="20" max="20" width="14.42578125" customWidth="1"/>
    <col min="21" max="21" width="10" customWidth="1"/>
    <col min="27" max="27" width="10.42578125" bestFit="1" customWidth="1"/>
    <col min="31" max="31" width="10.42578125" bestFit="1" customWidth="1"/>
  </cols>
  <sheetData>
    <row r="1" spans="1:31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T1" s="1" t="s">
        <v>81</v>
      </c>
    </row>
    <row r="2" spans="1:31" ht="18.75" x14ac:dyDescent="0.3">
      <c r="A2" s="4">
        <f t="shared" ref="A2:A15" si="0">N2</f>
        <v>0</v>
      </c>
      <c r="B2" s="4">
        <f t="shared" ref="B2:B15" si="1">Q2</f>
        <v>655</v>
      </c>
      <c r="C2" s="4">
        <f t="shared" ref="C2:C15" si="2">B2*1.2</f>
        <v>786</v>
      </c>
      <c r="D2" s="4">
        <f t="shared" ref="D2:D15" si="3">C2*1.2</f>
        <v>943.19999999999993</v>
      </c>
      <c r="E2" s="124">
        <f t="shared" ref="E2:E15" si="4">R2</f>
        <v>10300000</v>
      </c>
      <c r="F2" s="65">
        <f t="shared" ref="F2:F15" si="5">ROUND((E2/B2),0)</f>
        <v>15725</v>
      </c>
      <c r="G2" s="65">
        <f t="shared" ref="G2:G15" si="6">ROUND((E2/C2),0)</f>
        <v>13104</v>
      </c>
      <c r="H2" s="65">
        <f t="shared" ref="H2" si="7">ROUND((E2/D2),0)</f>
        <v>10920</v>
      </c>
      <c r="I2" s="65" t="e">
        <f>#REF!</f>
        <v>#REF!</v>
      </c>
      <c r="J2" s="65" t="e">
        <f>#REF!</f>
        <v>#REF!</v>
      </c>
      <c r="K2" s="93"/>
      <c r="L2" s="93"/>
      <c r="M2" s="93"/>
      <c r="N2" s="93"/>
      <c r="O2" s="93">
        <v>0</v>
      </c>
      <c r="P2" s="93">
        <f t="shared" ref="P2" si="8">O2/1.2</f>
        <v>0</v>
      </c>
      <c r="Q2" s="93">
        <v>655</v>
      </c>
      <c r="R2" s="94">
        <v>10300000</v>
      </c>
      <c r="S2" s="93" t="s">
        <v>86</v>
      </c>
      <c r="T2" s="10">
        <v>786</v>
      </c>
      <c r="U2" s="118" t="s">
        <v>102</v>
      </c>
      <c r="V2" s="10"/>
      <c r="W2" s="10"/>
      <c r="AE2" s="66"/>
    </row>
    <row r="3" spans="1:31" ht="16.5" x14ac:dyDescent="0.25">
      <c r="A3" s="4">
        <f t="shared" si="0"/>
        <v>0</v>
      </c>
      <c r="B3" s="4">
        <f t="shared" si="1"/>
        <v>942.28</v>
      </c>
      <c r="C3" s="4">
        <f t="shared" si="2"/>
        <v>1130.7359999999999</v>
      </c>
      <c r="D3" s="4">
        <f t="shared" si="3"/>
        <v>1356.8831999999998</v>
      </c>
      <c r="E3" s="124">
        <f t="shared" si="4"/>
        <v>24661953</v>
      </c>
      <c r="F3" s="65">
        <f t="shared" si="5"/>
        <v>26173</v>
      </c>
      <c r="G3" s="65">
        <f t="shared" si="6"/>
        <v>21811</v>
      </c>
      <c r="H3" s="65">
        <f t="shared" ref="H3" si="9">ROUND((E3/D3),0)</f>
        <v>18175</v>
      </c>
      <c r="I3" s="65" t="str">
        <f>U2</f>
        <v>73.04 चौ.मीटर</v>
      </c>
      <c r="J3" s="65" t="e">
        <f>#REF!</f>
        <v>#REF!</v>
      </c>
      <c r="K3" s="93"/>
      <c r="L3" s="93"/>
      <c r="M3" s="93"/>
      <c r="N3" s="93"/>
      <c r="O3" s="93">
        <v>0</v>
      </c>
      <c r="P3" s="93">
        <f t="shared" ref="P3" si="10">O3/1.2</f>
        <v>0</v>
      </c>
      <c r="Q3" s="93">
        <v>942.28</v>
      </c>
      <c r="R3" s="94">
        <v>24661953</v>
      </c>
      <c r="S3" s="93" t="s">
        <v>86</v>
      </c>
      <c r="T3" s="10"/>
      <c r="U3" s="117"/>
      <c r="V3" s="10"/>
      <c r="W3" s="10"/>
    </row>
    <row r="4" spans="1:31" x14ac:dyDescent="0.25">
      <c r="A4" s="4">
        <f t="shared" si="0"/>
        <v>0</v>
      </c>
      <c r="B4" s="4">
        <f t="shared" si="1"/>
        <v>516.66666666666674</v>
      </c>
      <c r="C4" s="4">
        <f t="shared" si="2"/>
        <v>620.00000000000011</v>
      </c>
      <c r="D4" s="4">
        <f t="shared" si="3"/>
        <v>744.00000000000011</v>
      </c>
      <c r="E4" s="123">
        <f t="shared" si="4"/>
        <v>11500000</v>
      </c>
      <c r="F4" s="119">
        <f t="shared" si="5"/>
        <v>22258</v>
      </c>
      <c r="G4" s="119">
        <f t="shared" si="6"/>
        <v>18548</v>
      </c>
      <c r="H4" s="119">
        <f t="shared" ref="H4" si="11">ROUND((E4/D4),0)</f>
        <v>15457</v>
      </c>
      <c r="I4" s="119" t="e">
        <f>#REF!</f>
        <v>#REF!</v>
      </c>
      <c r="J4" s="119" t="e">
        <f>#REF!</f>
        <v>#REF!</v>
      </c>
      <c r="K4" s="7"/>
      <c r="L4" s="7"/>
      <c r="M4" s="7"/>
      <c r="N4" s="7"/>
      <c r="O4" s="7">
        <v>0</v>
      </c>
      <c r="P4" s="93">
        <v>620</v>
      </c>
      <c r="Q4" s="93">
        <f t="shared" ref="Q4" si="12">P4/1.2</f>
        <v>516.66666666666674</v>
      </c>
      <c r="R4" s="120">
        <v>11500000</v>
      </c>
      <c r="S4" s="7" t="s">
        <v>118</v>
      </c>
      <c r="T4" s="121">
        <v>620</v>
      </c>
      <c r="U4" s="10" t="s">
        <v>103</v>
      </c>
      <c r="V4" s="10"/>
      <c r="W4" s="10"/>
    </row>
    <row r="5" spans="1:31" x14ac:dyDescent="0.25">
      <c r="A5" s="4">
        <f t="shared" si="0"/>
        <v>0</v>
      </c>
      <c r="B5" s="4">
        <f t="shared" si="1"/>
        <v>360.83333333333337</v>
      </c>
      <c r="C5" s="4">
        <f t="shared" si="2"/>
        <v>433.00000000000006</v>
      </c>
      <c r="D5" s="4">
        <f t="shared" si="3"/>
        <v>519.6</v>
      </c>
      <c r="E5" s="124">
        <f t="shared" si="4"/>
        <v>6500000</v>
      </c>
      <c r="F5" s="65">
        <f t="shared" si="5"/>
        <v>18014</v>
      </c>
      <c r="G5" s="65">
        <f t="shared" si="6"/>
        <v>15012</v>
      </c>
      <c r="H5" s="65">
        <f t="shared" ref="H5" si="13">ROUND((E5/D5),0)</f>
        <v>12510</v>
      </c>
      <c r="I5" s="65" t="str">
        <f>U5</f>
        <v>40.20 चौ.मीटर</v>
      </c>
      <c r="J5" s="65" t="e">
        <f>#REF!</f>
        <v>#REF!</v>
      </c>
      <c r="K5" s="93"/>
      <c r="L5" s="93"/>
      <c r="M5" s="93"/>
      <c r="N5" s="93"/>
      <c r="O5" s="65">
        <v>0</v>
      </c>
      <c r="P5" s="65">
        <v>433</v>
      </c>
      <c r="Q5" s="65">
        <f t="shared" ref="Q5" si="14">P5/1.2</f>
        <v>360.83333333333337</v>
      </c>
      <c r="R5" s="124">
        <v>6500000</v>
      </c>
      <c r="S5" s="65" t="s">
        <v>86</v>
      </c>
      <c r="T5" s="125">
        <v>433</v>
      </c>
      <c r="U5" s="126" t="s">
        <v>104</v>
      </c>
      <c r="V5" s="10"/>
      <c r="W5" s="10"/>
    </row>
    <row r="6" spans="1:31" x14ac:dyDescent="0.25">
      <c r="A6" s="4">
        <f t="shared" si="0"/>
        <v>0</v>
      </c>
      <c r="B6" s="4">
        <f t="shared" si="1"/>
        <v>429.16666666666669</v>
      </c>
      <c r="C6" s="4">
        <f t="shared" si="2"/>
        <v>515</v>
      </c>
      <c r="D6" s="4">
        <f t="shared" si="3"/>
        <v>618</v>
      </c>
      <c r="E6" s="124">
        <f t="shared" si="4"/>
        <v>8500000</v>
      </c>
      <c r="F6" s="65">
        <f t="shared" si="5"/>
        <v>19806</v>
      </c>
      <c r="G6" s="65">
        <f t="shared" si="6"/>
        <v>16505</v>
      </c>
      <c r="H6" s="65">
        <f t="shared" ref="H6" si="15">ROUND((E6/D6),0)</f>
        <v>13754</v>
      </c>
      <c r="I6" s="65" t="str">
        <f>U6</f>
        <v>47.86 चौ.मीटर</v>
      </c>
      <c r="J6" s="65" t="e">
        <f>#REF!</f>
        <v>#REF!</v>
      </c>
      <c r="K6" s="93"/>
      <c r="L6" s="93"/>
      <c r="M6" s="93"/>
      <c r="N6" s="93"/>
      <c r="O6" s="65">
        <v>0</v>
      </c>
      <c r="P6" s="65">
        <v>515</v>
      </c>
      <c r="Q6" s="65">
        <f t="shared" ref="Q6" si="16">P6/1.2</f>
        <v>429.16666666666669</v>
      </c>
      <c r="R6" s="124">
        <v>8500000</v>
      </c>
      <c r="S6" s="65" t="s">
        <v>86</v>
      </c>
      <c r="T6" s="125">
        <v>515</v>
      </c>
      <c r="U6" s="125" t="s">
        <v>105</v>
      </c>
      <c r="V6" s="10"/>
      <c r="W6" s="10"/>
    </row>
    <row r="7" spans="1:31" x14ac:dyDescent="0.25">
      <c r="A7" s="4">
        <f t="shared" si="0"/>
        <v>0</v>
      </c>
      <c r="B7" s="4">
        <f t="shared" si="1"/>
        <v>297</v>
      </c>
      <c r="C7" s="4">
        <f t="shared" si="2"/>
        <v>356.4</v>
      </c>
      <c r="D7" s="4">
        <f t="shared" si="3"/>
        <v>427.67999999999995</v>
      </c>
      <c r="E7" s="5">
        <f t="shared" si="4"/>
        <v>8400000</v>
      </c>
      <c r="F7" s="65">
        <f t="shared" si="5"/>
        <v>28283</v>
      </c>
      <c r="G7" s="65">
        <f t="shared" si="6"/>
        <v>23569</v>
      </c>
      <c r="H7" s="65">
        <f t="shared" ref="H7" si="17">ROUND((E7/D7),0)</f>
        <v>19641</v>
      </c>
      <c r="I7" s="65" t="str">
        <f t="shared" ref="I7" si="18">T7</f>
        <v>1 RK Flat In Shanti Apartment For Sale In Kandivali West
Swami Vivekanand Road, Fateh Baug</v>
      </c>
      <c r="J7" s="65">
        <f t="shared" ref="J7" si="19">U7</f>
        <v>0</v>
      </c>
      <c r="K7" s="93"/>
      <c r="L7" s="93"/>
      <c r="M7" s="93"/>
      <c r="N7" s="93"/>
      <c r="O7" s="93">
        <v>0</v>
      </c>
      <c r="P7" s="93">
        <f t="shared" ref="P7" si="20">O7/1.2</f>
        <v>0</v>
      </c>
      <c r="Q7" s="93">
        <v>297</v>
      </c>
      <c r="R7" s="94">
        <v>8400000</v>
      </c>
      <c r="S7" s="10" t="s">
        <v>106</v>
      </c>
      <c r="T7" s="72" t="s">
        <v>107</v>
      </c>
      <c r="U7" s="10"/>
      <c r="V7" s="10"/>
      <c r="W7" s="10"/>
    </row>
    <row r="8" spans="1:31" ht="18.75" x14ac:dyDescent="0.3">
      <c r="A8" s="4">
        <f t="shared" si="0"/>
        <v>0</v>
      </c>
      <c r="B8" s="4">
        <f t="shared" si="1"/>
        <v>575</v>
      </c>
      <c r="C8" s="4">
        <f t="shared" si="2"/>
        <v>690</v>
      </c>
      <c r="D8" s="4">
        <f t="shared" si="3"/>
        <v>828</v>
      </c>
      <c r="E8" s="5">
        <f t="shared" si="4"/>
        <v>21000000</v>
      </c>
      <c r="F8" s="65">
        <f t="shared" si="5"/>
        <v>36522</v>
      </c>
      <c r="G8" s="65">
        <f t="shared" si="6"/>
        <v>30435</v>
      </c>
      <c r="H8" s="65">
        <f t="shared" ref="H8:H15" si="21">ROUND((E8/D8),0)</f>
        <v>25362</v>
      </c>
      <c r="I8" s="65" t="str">
        <f t="shared" ref="I8:I15" si="22">T8</f>
        <v>2 BHK Flat In Shanti Apartment Kandivali West For Sale In Kandivali West
Kandivali West, Mumbai</v>
      </c>
      <c r="J8" s="65">
        <f t="shared" ref="J8:J15" si="23">U8</f>
        <v>0</v>
      </c>
      <c r="K8" s="93"/>
      <c r="L8" s="93"/>
      <c r="M8" s="93"/>
      <c r="N8" s="93"/>
      <c r="O8" s="93">
        <v>0</v>
      </c>
      <c r="P8" s="93">
        <v>690</v>
      </c>
      <c r="Q8" s="93">
        <f t="shared" ref="Q8" si="24">P8/1.2</f>
        <v>575</v>
      </c>
      <c r="R8" s="94">
        <v>21000000</v>
      </c>
      <c r="S8" s="10" t="s">
        <v>106</v>
      </c>
      <c r="T8" s="118" t="s">
        <v>108</v>
      </c>
      <c r="U8" s="10"/>
      <c r="V8" s="10"/>
      <c r="W8" s="10"/>
    </row>
    <row r="9" spans="1:31" ht="18.75" x14ac:dyDescent="0.3">
      <c r="A9" s="4">
        <f t="shared" si="0"/>
        <v>0</v>
      </c>
      <c r="B9" s="4">
        <f t="shared" si="1"/>
        <v>512.5</v>
      </c>
      <c r="C9" s="4">
        <f t="shared" si="2"/>
        <v>615</v>
      </c>
      <c r="D9" s="4">
        <f t="shared" si="3"/>
        <v>738</v>
      </c>
      <c r="E9" s="5">
        <f t="shared" si="4"/>
        <v>11000000</v>
      </c>
      <c r="F9" s="65">
        <f t="shared" si="5"/>
        <v>21463</v>
      </c>
      <c r="G9" s="65">
        <f t="shared" si="6"/>
        <v>17886</v>
      </c>
      <c r="H9" s="65">
        <f t="shared" si="21"/>
        <v>14905</v>
      </c>
      <c r="I9" s="65" t="str">
        <f t="shared" si="22"/>
        <v>1 BHK Flat In Shanti Apartment For Sale In Kandivali West
Swami Vivekanand Road, Fateh Baug, Kandivali West, Mumbai, Maharashtra, INDIA</v>
      </c>
      <c r="J9" s="65">
        <f t="shared" si="23"/>
        <v>0</v>
      </c>
      <c r="K9" s="93"/>
      <c r="L9" s="93"/>
      <c r="M9" s="93"/>
      <c r="N9" s="93"/>
      <c r="O9" s="93">
        <v>0</v>
      </c>
      <c r="P9" s="93">
        <v>615</v>
      </c>
      <c r="Q9" s="93">
        <f t="shared" ref="Q9" si="25">P9/1.2</f>
        <v>512.5</v>
      </c>
      <c r="R9" s="94">
        <v>11000000</v>
      </c>
      <c r="S9" s="10" t="s">
        <v>106</v>
      </c>
      <c r="T9" s="122" t="s">
        <v>109</v>
      </c>
      <c r="U9" s="10"/>
      <c r="V9" s="10"/>
      <c r="W9" s="10"/>
    </row>
    <row r="10" spans="1:31" ht="18.75" x14ac:dyDescent="0.3">
      <c r="A10" s="4">
        <f t="shared" si="0"/>
        <v>0</v>
      </c>
      <c r="B10" s="4">
        <f t="shared" si="1"/>
        <v>455</v>
      </c>
      <c r="C10" s="4">
        <f t="shared" si="2"/>
        <v>546</v>
      </c>
      <c r="D10" s="4">
        <f t="shared" si="3"/>
        <v>655.19999999999993</v>
      </c>
      <c r="E10" s="5">
        <f t="shared" si="4"/>
        <v>11000000</v>
      </c>
      <c r="F10" s="119">
        <f t="shared" si="5"/>
        <v>24176</v>
      </c>
      <c r="G10" s="119">
        <f t="shared" si="6"/>
        <v>20147</v>
      </c>
      <c r="H10" s="119">
        <f t="shared" si="21"/>
        <v>16789</v>
      </c>
      <c r="I10" s="119" t="str">
        <f t="shared" si="22"/>
        <v>1 BHK, Shanti Apartment, Fateh baug</v>
      </c>
      <c r="J10" s="119">
        <f t="shared" si="23"/>
        <v>0</v>
      </c>
      <c r="K10" s="7"/>
      <c r="L10" s="7"/>
      <c r="M10" s="7"/>
      <c r="N10" s="7"/>
      <c r="O10" s="7">
        <v>0</v>
      </c>
      <c r="P10" s="7">
        <f t="shared" ref="P10" si="26">O10/1.2</f>
        <v>0</v>
      </c>
      <c r="Q10" s="7">
        <v>455</v>
      </c>
      <c r="R10" s="120">
        <v>11000000</v>
      </c>
      <c r="S10" s="10" t="s">
        <v>106</v>
      </c>
      <c r="T10" s="122" t="s">
        <v>110</v>
      </c>
      <c r="U10" s="10"/>
      <c r="V10" s="10"/>
      <c r="W10" s="10"/>
    </row>
    <row r="11" spans="1:31" ht="16.5" x14ac:dyDescent="0.3">
      <c r="A11" s="4">
        <f t="shared" si="0"/>
        <v>0</v>
      </c>
      <c r="B11" s="4">
        <f t="shared" si="1"/>
        <v>1300</v>
      </c>
      <c r="C11" s="4">
        <f t="shared" si="2"/>
        <v>1560</v>
      </c>
      <c r="D11" s="4">
        <f t="shared" si="3"/>
        <v>1872</v>
      </c>
      <c r="E11" s="5">
        <f t="shared" si="4"/>
        <v>32500000</v>
      </c>
      <c r="F11" s="65">
        <f t="shared" si="5"/>
        <v>25000</v>
      </c>
      <c r="G11" s="65">
        <f t="shared" si="6"/>
        <v>20833</v>
      </c>
      <c r="H11" s="65">
        <f t="shared" si="21"/>
        <v>17361</v>
      </c>
      <c r="I11" s="65" t="str">
        <f t="shared" si="22"/>
        <v>4 BHK 1600 Sq-ft Flat For Sale in, 400 Crystal Fateh Baug Rd, Kandivali, Fateh Baug, Mumbai - Western Mumbai, Maharashtra</v>
      </c>
      <c r="J11" s="65">
        <f t="shared" si="23"/>
        <v>0</v>
      </c>
      <c r="K11" s="93"/>
      <c r="L11" s="93"/>
      <c r="M11" s="93"/>
      <c r="N11" s="93"/>
      <c r="O11" s="93">
        <v>0</v>
      </c>
      <c r="P11" s="93">
        <f t="shared" ref="P11" si="27">O11/1.2</f>
        <v>0</v>
      </c>
      <c r="Q11" s="93">
        <v>1300</v>
      </c>
      <c r="R11" s="94">
        <v>32500000</v>
      </c>
      <c r="S11" s="10" t="s">
        <v>106</v>
      </c>
      <c r="T11" s="73" t="s">
        <v>111</v>
      </c>
      <c r="U11" s="10"/>
      <c r="V11" s="10"/>
      <c r="W11" s="10"/>
      <c r="X11" s="39"/>
      <c r="Y11" s="39"/>
      <c r="Z11" s="39"/>
      <c r="AA11" s="39"/>
      <c r="AB11" s="39"/>
      <c r="AC11" s="39"/>
    </row>
    <row r="12" spans="1:31" x14ac:dyDescent="0.25">
      <c r="A12" s="4">
        <f t="shared" si="0"/>
        <v>0</v>
      </c>
      <c r="B12" s="4">
        <f t="shared" si="1"/>
        <v>1736</v>
      </c>
      <c r="C12" s="4">
        <f t="shared" si="2"/>
        <v>2083.1999999999998</v>
      </c>
      <c r="D12" s="4">
        <f t="shared" si="3"/>
        <v>2499.8399999999997</v>
      </c>
      <c r="E12" s="5">
        <f t="shared" si="4"/>
        <v>39900000</v>
      </c>
      <c r="F12" s="119">
        <f t="shared" si="5"/>
        <v>22984</v>
      </c>
      <c r="G12" s="65">
        <f t="shared" si="6"/>
        <v>19153</v>
      </c>
      <c r="H12" s="65">
        <f t="shared" si="21"/>
        <v>15961</v>
      </c>
      <c r="I12" s="65" t="str">
        <f t="shared" si="22"/>
        <v>2.5 BHK, Versatile Allure
Fateh Baug, Kandivali West, Mumbai - 400067</v>
      </c>
      <c r="J12" s="65">
        <f t="shared" si="23"/>
        <v>0</v>
      </c>
      <c r="K12" s="93"/>
      <c r="L12" s="93"/>
      <c r="M12" s="93"/>
      <c r="N12" s="93"/>
      <c r="O12" s="93">
        <v>0</v>
      </c>
      <c r="P12" s="93">
        <f t="shared" ref="P12" si="28">O12/1.2</f>
        <v>0</v>
      </c>
      <c r="Q12" s="93">
        <v>1736</v>
      </c>
      <c r="R12" s="94">
        <v>39900000</v>
      </c>
      <c r="S12" s="10" t="s">
        <v>106</v>
      </c>
      <c r="T12" s="73" t="s">
        <v>112</v>
      </c>
      <c r="U12" s="10"/>
      <c r="V12" s="10"/>
      <c r="W12" s="10"/>
    </row>
    <row r="13" spans="1:31" x14ac:dyDescent="0.25">
      <c r="A13" s="4">
        <f t="shared" si="0"/>
        <v>0</v>
      </c>
      <c r="B13" s="4">
        <f t="shared" si="1"/>
        <v>322.5</v>
      </c>
      <c r="C13" s="4">
        <f t="shared" si="2"/>
        <v>387</v>
      </c>
      <c r="D13" s="4">
        <f t="shared" si="3"/>
        <v>464.4</v>
      </c>
      <c r="E13" s="5">
        <f t="shared" si="4"/>
        <v>6150000</v>
      </c>
      <c r="F13" s="65">
        <f t="shared" si="5"/>
        <v>19070</v>
      </c>
      <c r="G13" s="65">
        <f t="shared" si="6"/>
        <v>15891</v>
      </c>
      <c r="H13" s="65">
        <f t="shared" si="21"/>
        <v>13243</v>
      </c>
      <c r="I13" s="65" t="str">
        <f t="shared" si="22"/>
        <v>लिकेचे नाव:मुंबई मनपाइतर वर्णन :सदनिका नं: प्रिमायसिस नं. 104, माळा नं: पहिला मजला, इमारतीचे नाव: न्यू शांती को.ऑप.हा.सो.ली., ब्लॉक नं: कांदिवली पश्चिम मुंबई - 400067, रोड : एस. वी. रोड,( ( C.T.S. Number : 209,211,212,213 ; ) )</v>
      </c>
      <c r="J13" s="65">
        <f t="shared" si="23"/>
        <v>0</v>
      </c>
      <c r="K13" s="93"/>
      <c r="L13" s="93"/>
      <c r="M13" s="93"/>
      <c r="N13" s="93"/>
      <c r="O13" s="93">
        <v>0</v>
      </c>
      <c r="P13" s="93">
        <v>387</v>
      </c>
      <c r="Q13" s="93">
        <f t="shared" ref="Q13" si="29">P13/1.2</f>
        <v>322.5</v>
      </c>
      <c r="R13" s="94">
        <v>6150000</v>
      </c>
      <c r="S13" s="10" t="s">
        <v>86</v>
      </c>
      <c r="T13" s="10" t="s">
        <v>119</v>
      </c>
      <c r="U13" s="10"/>
      <c r="V13" s="10"/>
      <c r="W13" s="10"/>
    </row>
    <row r="14" spans="1:31" x14ac:dyDescent="0.25">
      <c r="A14" s="4">
        <f t="shared" si="0"/>
        <v>0</v>
      </c>
      <c r="B14" s="4">
        <f t="shared" si="1"/>
        <v>641.66666666666674</v>
      </c>
      <c r="C14" s="4">
        <f t="shared" si="2"/>
        <v>770.00000000000011</v>
      </c>
      <c r="D14" s="4">
        <f t="shared" si="3"/>
        <v>924.00000000000011</v>
      </c>
      <c r="E14" s="5">
        <f t="shared" si="4"/>
        <v>12900000</v>
      </c>
      <c r="F14" s="65">
        <f t="shared" si="5"/>
        <v>20104</v>
      </c>
      <c r="G14" s="65">
        <f t="shared" si="6"/>
        <v>16753</v>
      </c>
      <c r="H14" s="65">
        <f t="shared" si="21"/>
        <v>13961</v>
      </c>
      <c r="I14" s="65" t="str">
        <f t="shared" si="22"/>
        <v xml:space="preserve"> पालिकेचे नाव:Mumbai Ma.na.pa. इतर वर्णन :सदनिका नं: सदनिका क्र.बी/203, माळा नं: दुसरा मजला, इमारतीचे नाव: लिना एनक्लेव्ह को-ऑप.हौ.सो.ली., ब्लॉक नं: कांदिवली पश्चिम मुंबई 400067, रोड : ओप. कांदिवली टेलिफोन एक्स्चेंज एस. वी. रोड, इतर माहिती: सदनिका नं: सदनिका क्र.बी/203, माळा नं: दुसरा मजला, इमारतीचे नाव: लिना एनक्लेव्ह को-ऑप.हौ.सो.ली., ब्लॉक नं: कांदिवली पश्चिम मुंबई 400067, रोड नं: ओप. कांदिवली टेलिफोन एक्स्चेंज एस. वी. रोड( ( C.T.S. Number : 209, 211, 212 and 213 ; ) )</v>
      </c>
      <c r="J14" s="65">
        <f t="shared" si="23"/>
        <v>0</v>
      </c>
      <c r="K14" s="93"/>
      <c r="L14" s="93"/>
      <c r="M14" s="93"/>
      <c r="N14" s="93"/>
      <c r="O14" s="93">
        <v>0</v>
      </c>
      <c r="P14" s="93">
        <v>770</v>
      </c>
      <c r="Q14" s="93">
        <f t="shared" ref="Q14" si="30">P14/1.2</f>
        <v>641.66666666666674</v>
      </c>
      <c r="R14" s="94">
        <v>12900000</v>
      </c>
      <c r="S14" s="10" t="s">
        <v>86</v>
      </c>
      <c r="T14" s="129" t="s">
        <v>120</v>
      </c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</row>
    <row r="15" spans="1:31" x14ac:dyDescent="0.2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65" t="e">
        <f t="shared" si="5"/>
        <v>#DIV/0!</v>
      </c>
      <c r="G15" s="65" t="e">
        <f t="shared" si="6"/>
        <v>#DIV/0!</v>
      </c>
      <c r="H15" s="65" t="e">
        <f t="shared" si="21"/>
        <v>#DIV/0!</v>
      </c>
      <c r="I15" s="65">
        <f t="shared" si="22"/>
        <v>0</v>
      </c>
      <c r="J15" s="65">
        <f t="shared" si="23"/>
        <v>0</v>
      </c>
      <c r="K15" s="93"/>
      <c r="L15" s="93"/>
      <c r="M15" s="93"/>
      <c r="N15" s="93"/>
      <c r="O15" s="93">
        <v>0</v>
      </c>
      <c r="P15" s="93">
        <f t="shared" ref="P15:P16" si="31">O15/1.2</f>
        <v>0</v>
      </c>
      <c r="Q15" s="93">
        <f t="shared" ref="Q15" si="32">P15/1.2</f>
        <v>0</v>
      </c>
      <c r="R15" s="94">
        <v>0</v>
      </c>
      <c r="S15" s="10"/>
      <c r="T15" s="10"/>
      <c r="U15" s="10"/>
      <c r="V15" s="10"/>
      <c r="W15" s="10"/>
    </row>
    <row r="16" spans="1:31" x14ac:dyDescent="0.25">
      <c r="A16" s="4">
        <f t="shared" ref="A16:A19" si="33">N16</f>
        <v>0</v>
      </c>
      <c r="B16" s="4">
        <f t="shared" ref="B16:B19" si="34">Q16</f>
        <v>0</v>
      </c>
      <c r="C16" s="4">
        <f t="shared" ref="C16:C19" si="35">B16*1.2</f>
        <v>0</v>
      </c>
      <c r="D16" s="4">
        <f t="shared" ref="D16:D19" si="36">C16*1.2</f>
        <v>0</v>
      </c>
      <c r="E16" s="5">
        <f t="shared" ref="E16:E19" si="37">R16</f>
        <v>0</v>
      </c>
      <c r="F16" s="65" t="e">
        <f t="shared" ref="F16:F19" si="38">ROUND((E16/B16),0)</f>
        <v>#DIV/0!</v>
      </c>
      <c r="G16" s="65" t="e">
        <f t="shared" ref="G16:G19" si="39">ROUND((E16/C16),0)</f>
        <v>#DIV/0!</v>
      </c>
      <c r="H16" s="65" t="e">
        <f t="shared" ref="H16:H19" si="40">ROUND((E16/D16),0)</f>
        <v>#DIV/0!</v>
      </c>
      <c r="I16" s="65">
        <f t="shared" ref="I16:J19" si="41">T16</f>
        <v>0</v>
      </c>
      <c r="J16" s="65">
        <f t="shared" si="41"/>
        <v>0</v>
      </c>
      <c r="K16" s="93"/>
      <c r="L16" s="93"/>
      <c r="M16" s="93"/>
      <c r="N16" s="93"/>
      <c r="O16" s="93">
        <v>0</v>
      </c>
      <c r="P16" s="93">
        <f t="shared" si="31"/>
        <v>0</v>
      </c>
      <c r="Q16" s="93">
        <f t="shared" ref="Q16" si="42">P16/1.2</f>
        <v>0</v>
      </c>
      <c r="R16" s="94">
        <v>0</v>
      </c>
      <c r="S16" s="10"/>
      <c r="T16" s="10"/>
      <c r="U16" s="10"/>
      <c r="V16" s="10"/>
      <c r="W16" s="10"/>
    </row>
    <row r="17" spans="1:23" x14ac:dyDescent="0.25">
      <c r="A17" s="4">
        <f t="shared" si="33"/>
        <v>0</v>
      </c>
      <c r="B17" s="4">
        <f t="shared" si="34"/>
        <v>0</v>
      </c>
      <c r="C17" s="4">
        <f t="shared" si="35"/>
        <v>0</v>
      </c>
      <c r="D17" s="4">
        <f t="shared" si="36"/>
        <v>0</v>
      </c>
      <c r="E17" s="5">
        <f t="shared" si="37"/>
        <v>0</v>
      </c>
      <c r="F17" s="65" t="e">
        <f t="shared" si="38"/>
        <v>#DIV/0!</v>
      </c>
      <c r="G17" s="65" t="e">
        <f t="shared" si="39"/>
        <v>#DIV/0!</v>
      </c>
      <c r="H17" s="65" t="e">
        <f t="shared" si="40"/>
        <v>#DIV/0!</v>
      </c>
      <c r="I17" s="65">
        <f t="shared" si="41"/>
        <v>0</v>
      </c>
      <c r="J17" s="65">
        <f t="shared" si="41"/>
        <v>0</v>
      </c>
      <c r="K17" s="93"/>
      <c r="L17" s="93"/>
      <c r="M17" s="93"/>
      <c r="N17" s="93"/>
      <c r="O17" s="93">
        <v>0</v>
      </c>
      <c r="P17" s="93">
        <f t="shared" ref="P17" si="43">O17/1.2</f>
        <v>0</v>
      </c>
      <c r="Q17" s="93">
        <f t="shared" ref="Q17" si="44">P17/1.2</f>
        <v>0</v>
      </c>
      <c r="R17" s="94">
        <v>0</v>
      </c>
      <c r="S17" s="10"/>
      <c r="T17" s="10"/>
      <c r="U17" s="10"/>
      <c r="V17" s="10"/>
      <c r="W17" s="10"/>
    </row>
    <row r="18" spans="1:23" x14ac:dyDescent="0.25">
      <c r="A18" s="4">
        <f t="shared" si="33"/>
        <v>0</v>
      </c>
      <c r="B18" s="4">
        <f t="shared" si="34"/>
        <v>0</v>
      </c>
      <c r="C18" s="4">
        <f t="shared" si="35"/>
        <v>0</v>
      </c>
      <c r="D18" s="4">
        <f t="shared" si="36"/>
        <v>0</v>
      </c>
      <c r="E18" s="5">
        <f t="shared" si="37"/>
        <v>0</v>
      </c>
      <c r="F18" s="65" t="e">
        <f t="shared" si="38"/>
        <v>#DIV/0!</v>
      </c>
      <c r="G18" s="65" t="e">
        <f t="shared" si="39"/>
        <v>#DIV/0!</v>
      </c>
      <c r="H18" s="65" t="e">
        <f t="shared" si="40"/>
        <v>#DIV/0!</v>
      </c>
      <c r="I18" s="65">
        <f t="shared" si="41"/>
        <v>0</v>
      </c>
      <c r="J18" s="65">
        <f t="shared" si="41"/>
        <v>0</v>
      </c>
      <c r="K18" s="93"/>
      <c r="L18" s="93"/>
      <c r="M18" s="93"/>
      <c r="N18" s="93"/>
      <c r="O18" s="93">
        <v>0</v>
      </c>
      <c r="P18" s="93">
        <f t="shared" ref="P18" si="45">O18/1.2</f>
        <v>0</v>
      </c>
      <c r="Q18" s="93">
        <f t="shared" ref="Q18" si="46">P18/1.2</f>
        <v>0</v>
      </c>
      <c r="R18" s="94">
        <v>0</v>
      </c>
      <c r="S18" s="10"/>
      <c r="T18" s="10"/>
      <c r="U18" s="10"/>
      <c r="V18" s="10"/>
      <c r="W18" s="10"/>
    </row>
    <row r="19" spans="1:23" x14ac:dyDescent="0.25">
      <c r="A19" s="4">
        <f t="shared" si="33"/>
        <v>0</v>
      </c>
      <c r="B19" s="4">
        <f t="shared" si="34"/>
        <v>0</v>
      </c>
      <c r="C19" s="4">
        <f t="shared" si="35"/>
        <v>0</v>
      </c>
      <c r="D19" s="4">
        <f t="shared" si="36"/>
        <v>0</v>
      </c>
      <c r="E19" s="5">
        <f t="shared" si="37"/>
        <v>0</v>
      </c>
      <c r="F19" s="65" t="e">
        <f t="shared" si="38"/>
        <v>#DIV/0!</v>
      </c>
      <c r="G19" s="65" t="e">
        <f t="shared" si="39"/>
        <v>#DIV/0!</v>
      </c>
      <c r="H19" s="65" t="e">
        <f t="shared" si="40"/>
        <v>#DIV/0!</v>
      </c>
      <c r="I19" s="65">
        <f t="shared" si="41"/>
        <v>0</v>
      </c>
      <c r="J19" s="65">
        <f t="shared" si="41"/>
        <v>0</v>
      </c>
      <c r="K19" s="93"/>
      <c r="L19" s="93"/>
      <c r="M19" s="93"/>
      <c r="N19" s="93"/>
      <c r="O19" s="93">
        <v>0</v>
      </c>
      <c r="P19" s="93">
        <f t="shared" ref="P19" si="47">O19/1.2</f>
        <v>0</v>
      </c>
      <c r="Q19" s="93">
        <f t="shared" ref="Q19" si="48">P19/1.2</f>
        <v>0</v>
      </c>
      <c r="R19" s="94">
        <v>0</v>
      </c>
      <c r="S19" s="10"/>
      <c r="T19" s="10"/>
      <c r="U19" s="10"/>
      <c r="V19" s="10"/>
      <c r="W19" s="10"/>
    </row>
    <row r="20" spans="1:23" s="10" customFormat="1" x14ac:dyDescent="0.25"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</row>
    <row r="21" spans="1:23" s="10" customFormat="1" ht="16.5" x14ac:dyDescent="0.3">
      <c r="D21" s="39"/>
      <c r="E21" s="39"/>
      <c r="F21" s="67"/>
    </row>
    <row r="22" spans="1:23" s="10" customFormat="1" ht="16.5" x14ac:dyDescent="0.3">
      <c r="C22" s="39"/>
      <c r="D22" s="10" t="s">
        <v>92</v>
      </c>
      <c r="E22" s="10" t="s">
        <v>96</v>
      </c>
      <c r="F22" s="99"/>
      <c r="G22" s="100" t="s">
        <v>63</v>
      </c>
      <c r="I22" s="109"/>
    </row>
    <row r="23" spans="1:23" s="10" customFormat="1" x14ac:dyDescent="0.25">
      <c r="D23" s="10" t="s">
        <v>1</v>
      </c>
      <c r="E23" s="10">
        <v>1601000</v>
      </c>
      <c r="F23" s="64" t="s">
        <v>72</v>
      </c>
      <c r="G23" s="64">
        <v>775</v>
      </c>
      <c r="J23" s="87"/>
      <c r="K23" s="87"/>
      <c r="L23" s="87"/>
      <c r="M23" s="87"/>
      <c r="N23" s="88"/>
      <c r="O23" s="87"/>
      <c r="P23" s="87"/>
    </row>
    <row r="24" spans="1:23" s="10" customFormat="1" x14ac:dyDescent="0.25">
      <c r="D24" s="10" t="s">
        <v>73</v>
      </c>
      <c r="E24" s="73">
        <f>E23/G31</f>
        <v>2092.8104575163397</v>
      </c>
      <c r="F24" s="64" t="s">
        <v>85</v>
      </c>
      <c r="G24" s="64"/>
      <c r="J24" s="87"/>
      <c r="K24" s="87"/>
      <c r="L24" s="87"/>
      <c r="M24" s="87"/>
      <c r="N24" s="88"/>
      <c r="O24" s="87"/>
      <c r="P24" s="97"/>
    </row>
    <row r="25" spans="1:23" s="10" customFormat="1" ht="16.5" x14ac:dyDescent="0.3">
      <c r="E25" s="72"/>
      <c r="F25" s="10" t="s">
        <v>89</v>
      </c>
      <c r="J25" s="87"/>
      <c r="K25" s="87"/>
      <c r="L25" s="87"/>
      <c r="M25" s="87"/>
      <c r="N25" s="88"/>
      <c r="O25" s="87"/>
      <c r="P25" s="127" t="s">
        <v>113</v>
      </c>
    </row>
    <row r="26" spans="1:23" s="10" customFormat="1" ht="15" customHeight="1" x14ac:dyDescent="0.25">
      <c r="E26" s="72"/>
      <c r="F26" s="10" t="s">
        <v>90</v>
      </c>
      <c r="J26" s="89"/>
      <c r="K26" s="87"/>
      <c r="L26" s="87"/>
      <c r="M26" s="87"/>
      <c r="N26" s="89"/>
      <c r="O26" s="87"/>
      <c r="P26" s="112" t="s">
        <v>114</v>
      </c>
    </row>
    <row r="27" spans="1:23" s="10" customFormat="1" ht="16.5" customHeight="1" x14ac:dyDescent="0.3">
      <c r="C27"/>
      <c r="F27" s="63" t="s">
        <v>75</v>
      </c>
      <c r="G27" s="63">
        <f>SUM(G23:G26)</f>
        <v>775</v>
      </c>
      <c r="H27" s="98"/>
      <c r="J27" s="89"/>
      <c r="K27" s="87"/>
      <c r="L27" s="87"/>
      <c r="M27" s="87"/>
      <c r="N27" s="89"/>
      <c r="O27" s="87"/>
      <c r="P27" s="127" t="s">
        <v>115</v>
      </c>
    </row>
    <row r="28" spans="1:23" s="10" customFormat="1" ht="16.5" x14ac:dyDescent="0.3">
      <c r="C28"/>
      <c r="D28"/>
      <c r="F28" s="49" t="s">
        <v>87</v>
      </c>
      <c r="G28" s="49">
        <v>765</v>
      </c>
      <c r="H28" s="72"/>
      <c r="J28" s="89"/>
      <c r="K28" s="87"/>
      <c r="L28" s="87"/>
      <c r="M28" s="87"/>
      <c r="N28" s="90"/>
      <c r="O28" s="87"/>
      <c r="P28" s="71" t="s">
        <v>116</v>
      </c>
      <c r="Q28" s="10" t="s">
        <v>117</v>
      </c>
    </row>
    <row r="29" spans="1:23" s="10" customFormat="1" ht="16.5" x14ac:dyDescent="0.25">
      <c r="C29"/>
      <c r="D29"/>
      <c r="F29" s="49" t="s">
        <v>76</v>
      </c>
      <c r="G29" s="49"/>
      <c r="H29" s="98"/>
      <c r="J29" s="91"/>
      <c r="K29" s="87"/>
      <c r="L29" s="87"/>
      <c r="M29" s="87"/>
      <c r="N29" s="90"/>
      <c r="O29" s="87"/>
      <c r="P29" s="102"/>
    </row>
    <row r="30" spans="1:23" s="10" customFormat="1" ht="16.5" x14ac:dyDescent="0.25">
      <c r="C30"/>
      <c r="F30" s="64" t="s">
        <v>77</v>
      </c>
      <c r="G30" s="64"/>
      <c r="H30" s="98"/>
      <c r="J30" s="90"/>
      <c r="K30" s="87"/>
      <c r="L30" s="87"/>
      <c r="M30" s="87"/>
      <c r="N30" s="90"/>
      <c r="O30" s="87"/>
      <c r="P30" s="102"/>
    </row>
    <row r="31" spans="1:23" s="10" customFormat="1" ht="16.5" x14ac:dyDescent="0.25">
      <c r="C31"/>
      <c r="D31"/>
      <c r="E31" s="10">
        <f>E25/619</f>
        <v>0</v>
      </c>
      <c r="F31" s="63" t="s">
        <v>88</v>
      </c>
      <c r="G31" s="63">
        <f>SUM(G28:G30)</f>
        <v>765</v>
      </c>
      <c r="H31" s="98" t="s">
        <v>101</v>
      </c>
      <c r="J31" s="90"/>
      <c r="K31" s="87"/>
      <c r="L31" s="87"/>
      <c r="M31" s="87"/>
      <c r="N31" s="89"/>
      <c r="O31" s="87"/>
      <c r="P31" s="102"/>
    </row>
    <row r="32" spans="1:23" s="10" customFormat="1" ht="16.5" x14ac:dyDescent="0.25">
      <c r="C32"/>
      <c r="D32"/>
      <c r="F32" s="49" t="s">
        <v>72</v>
      </c>
      <c r="G32" s="49">
        <v>775</v>
      </c>
      <c r="J32" s="90"/>
      <c r="K32" s="87"/>
      <c r="L32" s="87"/>
      <c r="M32" s="87"/>
      <c r="N32" s="92"/>
      <c r="O32" s="87"/>
      <c r="P32" s="102"/>
    </row>
    <row r="33" spans="3:20" s="10" customFormat="1" ht="16.5" x14ac:dyDescent="0.25">
      <c r="C33"/>
      <c r="D33"/>
      <c r="F33" s="49" t="s">
        <v>73</v>
      </c>
      <c r="G33" s="49">
        <v>23190</v>
      </c>
      <c r="J33" s="107"/>
      <c r="K33" s="87"/>
      <c r="L33" s="87"/>
      <c r="M33" s="87"/>
      <c r="N33" s="87"/>
      <c r="O33" s="87"/>
      <c r="P33" s="102"/>
    </row>
    <row r="34" spans="3:20" s="10" customFormat="1" x14ac:dyDescent="0.25">
      <c r="C34"/>
      <c r="D34"/>
      <c r="F34" s="63" t="s">
        <v>74</v>
      </c>
      <c r="G34" s="63">
        <f>G31*G33</f>
        <v>17740350</v>
      </c>
      <c r="H34" s="10">
        <f>G34/E23</f>
        <v>11.080793254216115</v>
      </c>
      <c r="J34" s="108"/>
      <c r="K34" s="87"/>
      <c r="L34" s="87"/>
      <c r="M34" s="87"/>
      <c r="N34" s="104"/>
      <c r="O34" s="87"/>
      <c r="P34" s="103"/>
    </row>
    <row r="35" spans="3:20" s="10" customFormat="1" x14ac:dyDescent="0.25">
      <c r="C35"/>
      <c r="D35"/>
      <c r="F35" s="63" t="s">
        <v>24</v>
      </c>
      <c r="G35" s="63">
        <f>G34*90%</f>
        <v>15966315</v>
      </c>
      <c r="J35" s="105"/>
      <c r="N35" s="104"/>
      <c r="P35" s="111"/>
    </row>
    <row r="36" spans="3:20" s="10" customFormat="1" x14ac:dyDescent="0.25">
      <c r="C36"/>
      <c r="D36"/>
      <c r="F36" s="63" t="s">
        <v>25</v>
      </c>
      <c r="G36" s="63">
        <f>G34*80%</f>
        <v>14192280</v>
      </c>
      <c r="J36" s="105"/>
      <c r="N36" s="104"/>
      <c r="P36" s="60"/>
    </row>
    <row r="37" spans="3:20" x14ac:dyDescent="0.25">
      <c r="J37" s="106"/>
      <c r="N37" s="104"/>
    </row>
    <row r="38" spans="3:20" x14ac:dyDescent="0.25">
      <c r="J38" s="106"/>
      <c r="N38" s="104"/>
      <c r="P38" s="60"/>
      <c r="Q38" s="10"/>
      <c r="R38" s="10"/>
      <c r="S38" s="10"/>
      <c r="T38" s="10"/>
    </row>
    <row r="39" spans="3:20" x14ac:dyDescent="0.25">
      <c r="F39" s="73"/>
      <c r="G39" s="73"/>
      <c r="H39" s="10"/>
      <c r="I39" s="10"/>
      <c r="K39" s="10"/>
      <c r="L39" s="10"/>
      <c r="P39" s="112"/>
      <c r="Q39" s="10"/>
      <c r="R39" s="10"/>
      <c r="S39" s="10"/>
      <c r="T39" s="10"/>
    </row>
    <row r="40" spans="3:20" x14ac:dyDescent="0.25">
      <c r="F40" s="72"/>
      <c r="G40" s="73"/>
      <c r="H40" s="10"/>
      <c r="I40" s="10"/>
      <c r="K40" s="10"/>
      <c r="L40" s="10"/>
      <c r="N40" s="86"/>
      <c r="T40" s="10"/>
    </row>
    <row r="41" spans="3:20" x14ac:dyDescent="0.25">
      <c r="F41" s="73"/>
      <c r="G41" s="73"/>
      <c r="H41" s="10"/>
      <c r="I41" s="10"/>
      <c r="K41" s="10"/>
      <c r="L41" s="10"/>
      <c r="N41" s="85"/>
      <c r="P41" s="113"/>
      <c r="Q41" s="10"/>
      <c r="R41" s="10"/>
      <c r="S41" s="10"/>
      <c r="T41" s="10"/>
    </row>
    <row r="42" spans="3:20" ht="16.5" x14ac:dyDescent="0.25">
      <c r="N42" s="85"/>
      <c r="P42" s="102"/>
      <c r="Q42" s="10"/>
      <c r="R42" s="10"/>
      <c r="S42" s="10"/>
      <c r="T42" s="10"/>
    </row>
    <row r="43" spans="3:20" ht="16.5" x14ac:dyDescent="0.25">
      <c r="N43" s="85"/>
      <c r="P43" s="102"/>
      <c r="Q43" s="10"/>
      <c r="R43" s="10"/>
      <c r="S43" s="10"/>
      <c r="T43" s="10"/>
    </row>
    <row r="44" spans="3:20" ht="16.5" x14ac:dyDescent="0.25">
      <c r="I44" s="110"/>
      <c r="N44" s="85"/>
      <c r="P44" s="102"/>
      <c r="Q44" s="10"/>
      <c r="R44" s="10"/>
      <c r="S44" s="10"/>
      <c r="T44" s="10"/>
    </row>
    <row r="45" spans="3:20" ht="16.5" x14ac:dyDescent="0.25">
      <c r="N45" s="85"/>
      <c r="P45" s="102"/>
      <c r="Q45" s="10"/>
      <c r="R45" s="10"/>
      <c r="S45" s="10"/>
      <c r="T45" s="10"/>
    </row>
    <row r="46" spans="3:20" ht="16.5" x14ac:dyDescent="0.25">
      <c r="G46" s="36"/>
      <c r="P46" s="102"/>
      <c r="Q46" s="10"/>
      <c r="R46" s="10"/>
      <c r="S46" s="10"/>
      <c r="T46" s="10"/>
    </row>
    <row r="47" spans="3:20" ht="16.5" x14ac:dyDescent="0.25">
      <c r="P47" s="102"/>
      <c r="Q47" s="10"/>
    </row>
    <row r="48" spans="3:20" x14ac:dyDescent="0.25">
      <c r="P48" s="114"/>
    </row>
    <row r="49" spans="16:20" ht="16.5" x14ac:dyDescent="0.25">
      <c r="P49" s="101"/>
      <c r="Q49" s="10"/>
      <c r="R49" s="10"/>
      <c r="S49" s="10"/>
      <c r="T49" s="10"/>
    </row>
    <row r="50" spans="16:20" ht="16.5" x14ac:dyDescent="0.3">
      <c r="P50" s="115"/>
      <c r="Q50" s="10"/>
      <c r="R50" s="10"/>
      <c r="S50" s="10"/>
      <c r="T50" s="10"/>
    </row>
    <row r="51" spans="16:20" x14ac:dyDescent="0.25">
      <c r="P51" s="60"/>
      <c r="Q51" s="10"/>
      <c r="R51" s="10"/>
      <c r="S51" s="10"/>
      <c r="T51" s="10"/>
    </row>
    <row r="52" spans="16:20" ht="16.5" x14ac:dyDescent="0.25">
      <c r="P52" s="116"/>
      <c r="Q52" s="10"/>
      <c r="R52" s="10"/>
      <c r="S52" s="10"/>
      <c r="T52" s="10"/>
    </row>
    <row r="53" spans="16:20" x14ac:dyDescent="0.25">
      <c r="P53" s="10"/>
      <c r="Q53" s="68"/>
      <c r="R53" s="10"/>
      <c r="S53" s="10"/>
      <c r="T53" s="10"/>
    </row>
    <row r="54" spans="16:20" x14ac:dyDescent="0.25">
      <c r="P54" s="10"/>
      <c r="Q54" s="10"/>
      <c r="R54" s="10"/>
      <c r="S54" s="10"/>
      <c r="T54" s="10"/>
    </row>
    <row r="55" spans="16:20" x14ac:dyDescent="0.25">
      <c r="P55" s="10"/>
      <c r="Q55" s="10"/>
      <c r="R55" s="10"/>
      <c r="S55" s="10"/>
      <c r="T55" s="10"/>
    </row>
    <row r="56" spans="16:20" x14ac:dyDescent="0.25">
      <c r="P56" s="10"/>
      <c r="Q56" s="10"/>
      <c r="R56" s="10"/>
      <c r="S56" s="10"/>
      <c r="T56" s="10"/>
    </row>
  </sheetData>
  <mergeCells count="1">
    <mergeCell ref="T14:AD1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H1" zoomScaleNormal="100" workbookViewId="0">
      <selection activeCell="H1" sqref="H1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3EA66-E17E-4C60-99F0-14B7D07ED8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34FBE-30FF-467E-8115-5399509B8D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5C62C-D53C-4EB0-BBF8-C1D0E606B7A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499F-6ED6-42E9-B37C-9C6A13EEAD0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'20-20'!_Hlk83481416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2023-09-12T11:29:12Z</dcterms:modified>
</cp:coreProperties>
</file>