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225"/>
  <workbookPr/>
  <mc:AlternateContent xmlns:mc="http://schemas.openxmlformats.org/markup-compatibility/2006">
    <mc:Choice Requires="x15">
      <x15ac:absPath xmlns:x15ac="http://schemas.microsoft.com/office/spreadsheetml/2010/11/ac" url="D:\Mumbai\Bank of Baroda\MMWR - Vile Parle (West)\Manish A. Purecha - Gala\"/>
    </mc:Choice>
  </mc:AlternateContent>
  <xr:revisionPtr revIDLastSave="0" documentId="13_ncr:1_{A3EFB778-DC14-4F3D-9750-2401D302841A}" xr6:coauthVersionLast="47" xr6:coauthVersionMax="47" xr10:uidLastSave="{00000000-0000-0000-0000-000000000000}"/>
  <bookViews>
    <workbookView xWindow="-120" yWindow="-120" windowWidth="29040" windowHeight="15720" tabRatio="932" activeTab="2" xr2:uid="{00000000-000D-0000-FFFF-FFFF00000000}"/>
  </bookViews>
  <sheets>
    <sheet name="Depreciation" sheetId="25" r:id="rId1"/>
    <sheet name="Sale plan" sheetId="24" r:id="rId2"/>
    <sheet name="Calculation" sheetId="23" r:id="rId3"/>
    <sheet name="20-20" sheetId="4" r:id="rId4"/>
    <sheet name="Sheet1" sheetId="13" r:id="rId5"/>
    <sheet name="Sheet2" sheetId="78" r:id="rId6"/>
    <sheet name="Sheet3" sheetId="79" r:id="rId7"/>
    <sheet name="Sheet4" sheetId="80" r:id="rId8"/>
    <sheet name="Sheet5" sheetId="81" r:id="rId9"/>
    <sheet name="Sheet6" sheetId="82" r:id="rId10"/>
    <sheet name="Sheet7" sheetId="83" r:id="rId11"/>
    <sheet name="Sheet8" sheetId="84" r:id="rId12"/>
    <sheet name="Sheet9" sheetId="85" r:id="rId13"/>
    <sheet name="Sheet10" sheetId="86" r:id="rId14"/>
    <sheet name="Sheet11" sheetId="87" r:id="rId15"/>
    <sheet name="Sheet12" sheetId="88" r:id="rId16"/>
    <sheet name="Sheet13" sheetId="89" r:id="rId17"/>
    <sheet name="Sheet14" sheetId="90" r:id="rId18"/>
    <sheet name="Sheet15" sheetId="91" r:id="rId19"/>
  </sheets>
  <definedNames>
    <definedName name="_Hlk83481416" localSheetId="3">'20-20'!$N$26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20" i="23" l="1"/>
  <c r="Q51" i="4"/>
  <c r="O56" i="4"/>
  <c r="O57" i="4" s="1"/>
  <c r="O58" i="4" s="1"/>
  <c r="O59" i="4" s="1"/>
  <c r="O60" i="4" s="1"/>
  <c r="O61" i="4" s="1"/>
  <c r="O62" i="4" s="1"/>
  <c r="O63" i="4" s="1"/>
  <c r="O64" i="4" s="1"/>
  <c r="O65" i="4" s="1"/>
  <c r="O66" i="4" s="1"/>
  <c r="O67" i="4" s="1"/>
  <c r="O68" i="4" s="1"/>
  <c r="O69" i="4" s="1"/>
  <c r="O70" i="4" s="1"/>
  <c r="O71" i="4" s="1"/>
  <c r="O72" i="4" s="1"/>
  <c r="P4" i="4"/>
  <c r="Q6" i="4"/>
  <c r="P7" i="4"/>
  <c r="P10" i="4"/>
  <c r="P12" i="4"/>
  <c r="P13" i="4"/>
  <c r="P14" i="4"/>
  <c r="P16" i="4"/>
  <c r="Q16" i="4" s="1"/>
  <c r="P17" i="4"/>
  <c r="P18" i="4"/>
  <c r="P19" i="4"/>
  <c r="Q3" i="4"/>
  <c r="Q5" i="4"/>
  <c r="Q8" i="4"/>
  <c r="Q9" i="4"/>
  <c r="Q11" i="4"/>
  <c r="Q15" i="4"/>
  <c r="Q17" i="4"/>
  <c r="Q18" i="4"/>
  <c r="P2" i="4" l="1"/>
  <c r="N9" i="24"/>
  <c r="K4" i="23"/>
  <c r="H4" i="23"/>
  <c r="G34" i="4" l="1"/>
  <c r="K5" i="23"/>
  <c r="E28" i="23"/>
  <c r="G27" i="4" l="1"/>
  <c r="C23" i="23"/>
  <c r="C8" i="25"/>
  <c r="D9" i="23"/>
  <c r="C7" i="23" s="1"/>
  <c r="H5" i="23"/>
  <c r="N3" i="24"/>
  <c r="N4" i="24"/>
  <c r="N5" i="24"/>
  <c r="N6" i="24"/>
  <c r="N7" i="24"/>
  <c r="N8" i="24"/>
  <c r="N2" i="24"/>
  <c r="C4" i="25"/>
  <c r="H34" i="4" l="1"/>
  <c r="J2" i="4"/>
  <c r="I2" i="4"/>
  <c r="J3" i="4"/>
  <c r="I3" i="4"/>
  <c r="J4" i="4"/>
  <c r="I4" i="4"/>
  <c r="J5" i="4"/>
  <c r="I5" i="4"/>
  <c r="J6" i="4"/>
  <c r="I6" i="4"/>
  <c r="J7" i="4"/>
  <c r="I7" i="4"/>
  <c r="N31" i="24"/>
  <c r="E19" i="23" l="1"/>
  <c r="E21" i="23" s="1"/>
  <c r="D19" i="23"/>
  <c r="D23" i="23"/>
  <c r="C5" i="23"/>
  <c r="E20" i="23" l="1"/>
  <c r="D21" i="23"/>
  <c r="D20" i="23"/>
  <c r="C5" i="25"/>
  <c r="B2" i="4"/>
  <c r="B3" i="4"/>
  <c r="B4" i="4"/>
  <c r="B5" i="4"/>
  <c r="B6" i="4"/>
  <c r="B7" i="4"/>
  <c r="B8" i="4"/>
  <c r="B9" i="4"/>
  <c r="B10" i="4"/>
  <c r="B11" i="4"/>
  <c r="B12" i="4"/>
  <c r="B13" i="4"/>
  <c r="C13" i="4" s="1"/>
  <c r="D13" i="4" s="1"/>
  <c r="J8" i="4"/>
  <c r="J15" i="4"/>
  <c r="I15" i="4"/>
  <c r="E15" i="4"/>
  <c r="A15" i="4"/>
  <c r="J14" i="4"/>
  <c r="I14" i="4"/>
  <c r="E14" i="4"/>
  <c r="A14" i="4"/>
  <c r="J13" i="4"/>
  <c r="I13" i="4"/>
  <c r="E13" i="4"/>
  <c r="A13" i="4"/>
  <c r="J12" i="4"/>
  <c r="I12" i="4"/>
  <c r="E12" i="4"/>
  <c r="A12" i="4"/>
  <c r="J11" i="4"/>
  <c r="I11" i="4"/>
  <c r="E11" i="4"/>
  <c r="A11" i="4"/>
  <c r="J10" i="4"/>
  <c r="I10" i="4"/>
  <c r="E10" i="4"/>
  <c r="A10" i="4"/>
  <c r="J9" i="4"/>
  <c r="I9" i="4"/>
  <c r="E9" i="4"/>
  <c r="A9" i="4"/>
  <c r="I8" i="4"/>
  <c r="E8" i="4"/>
  <c r="A8" i="4"/>
  <c r="E7" i="4"/>
  <c r="A7" i="4"/>
  <c r="E6" i="4"/>
  <c r="A6" i="4"/>
  <c r="E5" i="4"/>
  <c r="A5" i="4"/>
  <c r="E4" i="4"/>
  <c r="A4" i="4"/>
  <c r="E3" i="4"/>
  <c r="A3" i="4"/>
  <c r="E2" i="4"/>
  <c r="A2" i="4"/>
  <c r="C13" i="25"/>
  <c r="C20" i="25"/>
  <c r="C16" i="25"/>
  <c r="C17" i="25" s="1"/>
  <c r="B15" i="4" l="1"/>
  <c r="B14" i="4"/>
  <c r="C12" i="4"/>
  <c r="D12" i="4" s="1"/>
  <c r="H12" i="4" s="1"/>
  <c r="F12" i="4"/>
  <c r="C11" i="4"/>
  <c r="D11" i="4" s="1"/>
  <c r="H11" i="4" s="1"/>
  <c r="F11" i="4"/>
  <c r="C10" i="4"/>
  <c r="D10" i="4" s="1"/>
  <c r="H10" i="4" s="1"/>
  <c r="F10" i="4"/>
  <c r="C9" i="4"/>
  <c r="D9" i="4" s="1"/>
  <c r="H9" i="4" s="1"/>
  <c r="F9" i="4"/>
  <c r="C8" i="4"/>
  <c r="D8" i="4" s="1"/>
  <c r="H8" i="4" s="1"/>
  <c r="F8" i="4"/>
  <c r="C7" i="4"/>
  <c r="D7" i="4" s="1"/>
  <c r="H7" i="4" s="1"/>
  <c r="F7" i="4"/>
  <c r="C6" i="4"/>
  <c r="D6" i="4" s="1"/>
  <c r="H6" i="4" s="1"/>
  <c r="F6" i="4"/>
  <c r="C5" i="4"/>
  <c r="D5" i="4" s="1"/>
  <c r="H5" i="4" s="1"/>
  <c r="F5" i="4"/>
  <c r="C4" i="4"/>
  <c r="D4" i="4" s="1"/>
  <c r="H4" i="4" s="1"/>
  <c r="F4" i="4"/>
  <c r="C3" i="4"/>
  <c r="D3" i="4" s="1"/>
  <c r="H3" i="4" s="1"/>
  <c r="F3" i="4"/>
  <c r="C2" i="4"/>
  <c r="D2" i="4" s="1"/>
  <c r="H2" i="4" s="1"/>
  <c r="F2" i="4"/>
  <c r="I2" i="24"/>
  <c r="H13" i="4"/>
  <c r="F13" i="4"/>
  <c r="G13" i="4"/>
  <c r="C7" i="25"/>
  <c r="E5" i="25"/>
  <c r="E17" i="25"/>
  <c r="C19" i="25"/>
  <c r="C21" i="25" s="1"/>
  <c r="E21" i="25" s="1"/>
  <c r="G3" i="4" l="1"/>
  <c r="G4" i="4"/>
  <c r="G9" i="4"/>
  <c r="G10" i="4"/>
  <c r="G12" i="4"/>
  <c r="G8" i="4"/>
  <c r="G7" i="4"/>
  <c r="G5" i="4"/>
  <c r="G6" i="4"/>
  <c r="G11" i="4"/>
  <c r="G2" i="4"/>
  <c r="C14" i="4"/>
  <c r="F14" i="4"/>
  <c r="C15" i="4"/>
  <c r="F15" i="4"/>
  <c r="G36" i="4"/>
  <c r="C9" i="25"/>
  <c r="E9" i="25" s="1"/>
  <c r="G35" i="4"/>
  <c r="F30" i="24"/>
  <c r="H30" i="24" s="1"/>
  <c r="E30" i="24"/>
  <c r="G30" i="24" s="1"/>
  <c r="I30" i="24" s="1"/>
  <c r="H29" i="24"/>
  <c r="G29" i="24"/>
  <c r="I29" i="24" s="1"/>
  <c r="F29" i="24"/>
  <c r="E29" i="24"/>
  <c r="G28" i="24"/>
  <c r="F28" i="24"/>
  <c r="I28" i="24" s="1"/>
  <c r="E28" i="24"/>
  <c r="H28" i="24" s="1"/>
  <c r="H27" i="24"/>
  <c r="G27" i="24"/>
  <c r="F27" i="24"/>
  <c r="I27" i="24" s="1"/>
  <c r="E27" i="24"/>
  <c r="G26" i="24"/>
  <c r="F26" i="24"/>
  <c r="I26" i="24" s="1"/>
  <c r="E26" i="24"/>
  <c r="H26" i="24" s="1"/>
  <c r="G25" i="24"/>
  <c r="F25" i="24"/>
  <c r="I25" i="24" s="1"/>
  <c r="E25" i="24"/>
  <c r="H25" i="24" s="1"/>
  <c r="G24" i="24"/>
  <c r="F24" i="24"/>
  <c r="I24" i="24" s="1"/>
  <c r="E24" i="24"/>
  <c r="H24" i="24" s="1"/>
  <c r="G23" i="24"/>
  <c r="F23" i="24"/>
  <c r="I23" i="24" s="1"/>
  <c r="E23" i="24"/>
  <c r="H23" i="24" s="1"/>
  <c r="F22" i="24"/>
  <c r="H22" i="24" s="1"/>
  <c r="E22" i="24"/>
  <c r="G22" i="24" s="1"/>
  <c r="I22" i="24" s="1"/>
  <c r="F21" i="24"/>
  <c r="H21" i="24" s="1"/>
  <c r="E21" i="24"/>
  <c r="G21" i="24" s="1"/>
  <c r="I21" i="24" s="1"/>
  <c r="F20" i="24"/>
  <c r="H20" i="24" s="1"/>
  <c r="E20" i="24"/>
  <c r="G20" i="24" s="1"/>
  <c r="I20" i="24" s="1"/>
  <c r="F19" i="24"/>
  <c r="H19" i="24" s="1"/>
  <c r="E19" i="24"/>
  <c r="G19" i="24" s="1"/>
  <c r="F18" i="24"/>
  <c r="H18" i="24" s="1"/>
  <c r="E18" i="24"/>
  <c r="G18" i="24" s="1"/>
  <c r="F17" i="24"/>
  <c r="H17" i="24" s="1"/>
  <c r="E17" i="24"/>
  <c r="G17" i="24" s="1"/>
  <c r="F16" i="24"/>
  <c r="H16" i="24" s="1"/>
  <c r="E16" i="24"/>
  <c r="G16" i="24" s="1"/>
  <c r="F15" i="24"/>
  <c r="H15" i="24" s="1"/>
  <c r="E15" i="24"/>
  <c r="G15" i="24" s="1"/>
  <c r="F14" i="24"/>
  <c r="H14" i="24" s="1"/>
  <c r="E14" i="24"/>
  <c r="G14" i="24" s="1"/>
  <c r="F13" i="24"/>
  <c r="H13" i="24" s="1"/>
  <c r="E13" i="24"/>
  <c r="G13" i="24" s="1"/>
  <c r="F12" i="24"/>
  <c r="H12" i="24" s="1"/>
  <c r="E12" i="24"/>
  <c r="G12" i="24" s="1"/>
  <c r="F11" i="24"/>
  <c r="H11" i="24" s="1"/>
  <c r="E11" i="24"/>
  <c r="G11" i="24" s="1"/>
  <c r="F10" i="24"/>
  <c r="H10" i="24" s="1"/>
  <c r="E10" i="24"/>
  <c r="G10" i="24" s="1"/>
  <c r="F9" i="24"/>
  <c r="H9" i="24" s="1"/>
  <c r="E9" i="24"/>
  <c r="G9" i="24" s="1"/>
  <c r="F8" i="24"/>
  <c r="H8" i="24" s="1"/>
  <c r="E8" i="24"/>
  <c r="G8" i="24" s="1"/>
  <c r="F7" i="24"/>
  <c r="H7" i="24" s="1"/>
  <c r="E7" i="24"/>
  <c r="G7" i="24" s="1"/>
  <c r="F6" i="24"/>
  <c r="H6" i="24" s="1"/>
  <c r="E6" i="24"/>
  <c r="G6" i="24" s="1"/>
  <c r="F5" i="24"/>
  <c r="H5" i="24" s="1"/>
  <c r="E5" i="24"/>
  <c r="G5" i="24" s="1"/>
  <c r="F4" i="24"/>
  <c r="H4" i="24" s="1"/>
  <c r="E4" i="24"/>
  <c r="G4" i="24" s="1"/>
  <c r="W3" i="24"/>
  <c r="V3" i="24"/>
  <c r="F3" i="24"/>
  <c r="H3" i="24" s="1"/>
  <c r="E3" i="24"/>
  <c r="G3" i="24" s="1"/>
  <c r="D15" i="4" l="1"/>
  <c r="H15" i="4" s="1"/>
  <c r="G15" i="4"/>
  <c r="D14" i="4"/>
  <c r="H14" i="4" s="1"/>
  <c r="G14" i="4"/>
  <c r="I19" i="24"/>
  <c r="I10" i="24"/>
  <c r="I17" i="24"/>
  <c r="I12" i="24"/>
  <c r="I13" i="24"/>
  <c r="I15" i="24"/>
  <c r="I5" i="24"/>
  <c r="I4" i="24"/>
  <c r="J2" i="24"/>
  <c r="I9" i="24"/>
  <c r="I3" i="24"/>
  <c r="I14" i="24"/>
  <c r="I6" i="24"/>
  <c r="I7" i="24"/>
  <c r="I8" i="24"/>
  <c r="I16" i="24"/>
  <c r="I11" i="24"/>
  <c r="I18" i="24"/>
  <c r="J3" i="24" l="1"/>
  <c r="J4" i="24" s="1"/>
  <c r="J5" i="24" s="1"/>
  <c r="J6" i="24" s="1"/>
  <c r="J7" i="24" s="1"/>
  <c r="J8" i="24" s="1"/>
  <c r="J9" i="24" s="1"/>
  <c r="J10" i="24" s="1"/>
  <c r="J11" i="24" s="1"/>
  <c r="J12" i="24" s="1"/>
  <c r="J13" i="24" s="1"/>
  <c r="J14" i="24" s="1"/>
  <c r="J15" i="24" s="1"/>
  <c r="J16" i="24" s="1"/>
  <c r="J17" i="24" s="1"/>
  <c r="J18" i="24" s="1"/>
  <c r="J19" i="24" s="1"/>
  <c r="J20" i="24" s="1"/>
  <c r="J21" i="24" s="1"/>
  <c r="J22" i="24" s="1"/>
  <c r="J23" i="24" s="1"/>
  <c r="J24" i="24" s="1"/>
  <c r="J25" i="24" s="1"/>
  <c r="J26" i="24" s="1"/>
  <c r="J27" i="24" s="1"/>
  <c r="J28" i="24" s="1"/>
  <c r="J29" i="24" s="1"/>
  <c r="J30" i="24" s="1"/>
  <c r="C84" i="23" l="1"/>
  <c r="C8" i="23"/>
  <c r="C6" i="23"/>
  <c r="C14" i="23"/>
  <c r="C10" i="23" l="1"/>
  <c r="C11" i="23" s="1"/>
  <c r="C12" i="23" s="1"/>
  <c r="C13" i="23" s="1"/>
  <c r="C16" i="23" s="1"/>
  <c r="C19" i="23" s="1"/>
  <c r="C25" i="23" s="1"/>
  <c r="C21" i="23" l="1"/>
  <c r="J19" i="4" l="1"/>
  <c r="I19" i="4"/>
  <c r="E19" i="4"/>
  <c r="A19" i="4"/>
  <c r="J18" i="4"/>
  <c r="I18" i="4"/>
  <c r="E18" i="4"/>
  <c r="A18" i="4"/>
  <c r="J17" i="4"/>
  <c r="I17" i="4"/>
  <c r="E17" i="4"/>
  <c r="A17" i="4"/>
  <c r="J16" i="4"/>
  <c r="I16" i="4"/>
  <c r="E16" i="4"/>
  <c r="A16" i="4"/>
  <c r="B16" i="4" l="1"/>
  <c r="B18" i="4"/>
  <c r="B17" i="4"/>
  <c r="B19" i="4"/>
  <c r="C19" i="4" l="1"/>
  <c r="G19" i="4" s="1"/>
  <c r="F19" i="4"/>
  <c r="C18" i="4"/>
  <c r="G18" i="4" s="1"/>
  <c r="F18" i="4"/>
  <c r="C17" i="4"/>
  <c r="G17" i="4" s="1"/>
  <c r="F17" i="4"/>
  <c r="C16" i="4"/>
  <c r="G16" i="4" s="1"/>
  <c r="F16" i="4"/>
  <c r="D19" i="4"/>
  <c r="H19" i="4" s="1"/>
  <c r="D18" i="4" l="1"/>
  <c r="H18" i="4" s="1"/>
  <c r="D17" i="4"/>
  <c r="H17" i="4" s="1"/>
  <c r="D16" i="4"/>
  <c r="H16" i="4" s="1"/>
</calcChain>
</file>

<file path=xl/sharedStrings.xml><?xml version="1.0" encoding="utf-8"?>
<sst xmlns="http://schemas.openxmlformats.org/spreadsheetml/2006/main" count="203" uniqueCount="145">
  <si>
    <t>Sr. No.</t>
  </si>
  <si>
    <t>Value</t>
  </si>
  <si>
    <t>Floor</t>
  </si>
  <si>
    <t>Total Floor</t>
  </si>
  <si>
    <t>Super Built up area</t>
  </si>
  <si>
    <t>Built up area</t>
  </si>
  <si>
    <t>Carpet area</t>
  </si>
  <si>
    <t xml:space="preserve">Sr. No. </t>
  </si>
  <si>
    <t>Rate on Carpet area</t>
  </si>
  <si>
    <t>Built up area (20%)</t>
  </si>
  <si>
    <t>Saleable area (20 + 20%)</t>
  </si>
  <si>
    <t>Rate on Built up  area (20%)</t>
  </si>
  <si>
    <t>Rate on Saleable area (20 + 20%)</t>
  </si>
  <si>
    <t>New Construction Rate</t>
  </si>
  <si>
    <t>Bldg.+Service (Cost of Construction)</t>
  </si>
  <si>
    <t>Land + Others</t>
  </si>
  <si>
    <t>Replacement Cost</t>
  </si>
  <si>
    <t>Age of the bldg.</t>
  </si>
  <si>
    <t>Estimated Life</t>
  </si>
  <si>
    <t>Total Life</t>
  </si>
  <si>
    <t>Depreciation (100-10)X15/60</t>
  </si>
  <si>
    <t>Depreciation Amt</t>
  </si>
  <si>
    <t>Depreciated Bldg. Rate</t>
  </si>
  <si>
    <t xml:space="preserve">Total Composite </t>
  </si>
  <si>
    <t>RV</t>
  </si>
  <si>
    <t>DV</t>
  </si>
  <si>
    <t>IV</t>
  </si>
  <si>
    <t>RR Value</t>
  </si>
  <si>
    <t>Rental Value</t>
  </si>
  <si>
    <t>Foot</t>
  </si>
  <si>
    <t>Inch</t>
  </si>
  <si>
    <t>foot</t>
  </si>
  <si>
    <t>Inch Cal.</t>
  </si>
  <si>
    <t>Inch.Cal</t>
  </si>
  <si>
    <t>total foot</t>
  </si>
  <si>
    <t>Total area</t>
  </si>
  <si>
    <t>Grand total</t>
  </si>
  <si>
    <t xml:space="preserve">depreciation </t>
  </si>
  <si>
    <t>Cost of const</t>
  </si>
  <si>
    <t>Mumbai</t>
  </si>
  <si>
    <t>Thane</t>
  </si>
  <si>
    <t>years</t>
  </si>
  <si>
    <t>%</t>
  </si>
  <si>
    <t>RCC</t>
  </si>
  <si>
    <t>2-5</t>
  </si>
  <si>
    <t>floor</t>
  </si>
  <si>
    <t>5-10</t>
  </si>
  <si>
    <t>Increas</t>
  </si>
  <si>
    <t>g+4</t>
  </si>
  <si>
    <t>no incre</t>
  </si>
  <si>
    <t>10-20</t>
  </si>
  <si>
    <t>20-30</t>
  </si>
  <si>
    <t>11-20</t>
  </si>
  <si>
    <t>30-40</t>
  </si>
  <si>
    <t>21-30</t>
  </si>
  <si>
    <t>40-50</t>
  </si>
  <si>
    <t>31 and above</t>
  </si>
  <si>
    <t>50-60</t>
  </si>
  <si>
    <t>above 60</t>
  </si>
  <si>
    <t>Residential</t>
  </si>
  <si>
    <t>Increased 5% for Higher floor (5th -10th Floor)</t>
  </si>
  <si>
    <t>Guideline Rate (New Property)</t>
  </si>
  <si>
    <t>Sq. Mtr.</t>
  </si>
  <si>
    <t>Sq. Ft.</t>
  </si>
  <si>
    <t>(-) Land Cost</t>
  </si>
  <si>
    <t>Guideline Rate (After Depreciation)</t>
  </si>
  <si>
    <t>Building Cost of Construction</t>
  </si>
  <si>
    <t>Land Rate after deduction of BCC</t>
  </si>
  <si>
    <t>Depreciation:
80% of Building Cost of Construction (for Building between 10 to 20 years)</t>
  </si>
  <si>
    <t>Year</t>
  </si>
  <si>
    <t>Year of Construction</t>
  </si>
  <si>
    <t>Age of the Building</t>
  </si>
  <si>
    <t>MCA</t>
  </si>
  <si>
    <t>Rate</t>
  </si>
  <si>
    <t>FMV</t>
  </si>
  <si>
    <t>Total MCA</t>
  </si>
  <si>
    <t>Chajja</t>
  </si>
  <si>
    <t>Service Area</t>
  </si>
  <si>
    <t>CA</t>
  </si>
  <si>
    <t>Ground Floor</t>
  </si>
  <si>
    <t>Insurance</t>
  </si>
  <si>
    <t>BUA</t>
  </si>
  <si>
    <t>Construction Cost</t>
  </si>
  <si>
    <t>Increased 10% for Higher floor (11th -20th Floor)</t>
  </si>
  <si>
    <t>Depreciation:
90% (for Building between 5 to 10 years)</t>
  </si>
  <si>
    <t>Balcony</t>
  </si>
  <si>
    <t>ACA</t>
  </si>
  <si>
    <t>Total ACA</t>
  </si>
  <si>
    <t>Dry Bal</t>
  </si>
  <si>
    <t>Cupboard</t>
  </si>
  <si>
    <t>rate on CA</t>
  </si>
  <si>
    <t>Agreement dtd.</t>
  </si>
  <si>
    <t>Toilet</t>
  </si>
  <si>
    <t>Rate Range As per Site Engineer 18000 to 22000 on Super BUA</t>
  </si>
  <si>
    <t>20.02.2006</t>
  </si>
  <si>
    <t>Year of Construciton 1997</t>
  </si>
  <si>
    <t>26 Years</t>
  </si>
  <si>
    <t>as per OC</t>
  </si>
  <si>
    <t>Reception</t>
  </si>
  <si>
    <t>Cabin</t>
  </si>
  <si>
    <t>WC</t>
  </si>
  <si>
    <t>Pantry</t>
  </si>
  <si>
    <t>Working Area</t>
  </si>
  <si>
    <t xml:space="preserve">Tubelight Communications Limited - Commercial Office No. 503, 5th Floor, "Advent Atria Premises Co-op. Society Ltd.", Chincholi Bunder Road, Opp. Kingstone Tower, Chincholi Village, Malad (West), Mumbai – 400 064, State – Maharashtra, Country – India </t>
  </si>
  <si>
    <t>Rs. 29000 on Carpet</t>
  </si>
  <si>
    <t>Industrial Building In Malad West, Mumbai For Sale, Near Chincholi Fire station, Near Inorbit mall and Infinity mall</t>
  </si>
  <si>
    <t>400M</t>
  </si>
  <si>
    <t>Industrial Building In Kanchpada, , Mumbai For Sale
2, Ramchandra Ln, Malad, near Reliance SMART</t>
  </si>
  <si>
    <t>450M</t>
  </si>
  <si>
    <t>Ready to move Office Space for sale
in Kaveri CHS, Chincholi Bunder, Mumbai Andheri-Dahisar, Mumbai</t>
  </si>
  <si>
    <t>Office Space In Malad West, Mumbai For Sale
Chincholi Bunder Rd, VIBGYOR Roots &amp; Rise School, Malad West, Mumbai</t>
  </si>
  <si>
    <t>Office Space In Malad West, Mumbai For Sale
New Link Rd,Chincholi, near Modi Hyundai Malad Showroom</t>
  </si>
  <si>
    <t>Factory for Sale
in Chincholi Bunder, Mumbai Andheri-Dahisar, Mumbai</t>
  </si>
  <si>
    <t>IGR</t>
  </si>
  <si>
    <t>Parmeshwar Industrial Premies</t>
  </si>
  <si>
    <t>Nox Plaza</t>
  </si>
  <si>
    <t>Off Rose Plaza</t>
  </si>
  <si>
    <t>250M</t>
  </si>
  <si>
    <r>
      <t>Commercial Office No. 205, 2</t>
    </r>
    <r>
      <rPr>
        <vertAlign val="superscript"/>
        <sz val="11"/>
        <color theme="1"/>
        <rFont val="Arial Narrow"/>
        <family val="2"/>
      </rPr>
      <t>nd</t>
    </r>
    <r>
      <rPr>
        <sz val="11"/>
        <color theme="1"/>
        <rFont val="Arial Narrow"/>
        <family val="2"/>
      </rPr>
      <t xml:space="preserve"> Floor, </t>
    </r>
    <r>
      <rPr>
        <b/>
        <sz val="11"/>
        <color theme="1"/>
        <rFont val="Arial Narrow"/>
        <family val="2"/>
      </rPr>
      <t>“Kalpataru Plaza”,</t>
    </r>
    <r>
      <rPr>
        <sz val="11"/>
        <color theme="1"/>
        <rFont val="Arial Narrow"/>
        <family val="2"/>
      </rPr>
      <t xml:space="preserve"> </t>
    </r>
    <r>
      <rPr>
        <sz val="11"/>
        <color rgb="FF000000"/>
        <rFont val="Arial Narrow"/>
        <family val="2"/>
      </rPr>
      <t xml:space="preserve">Kalpataru Plaza Premises Co-op. Soc. Ltd., </t>
    </r>
  </si>
  <si>
    <t>Chincholi Bunder Road, Malad (West), Mumbai – 400064</t>
  </si>
  <si>
    <t>07.11.2022</t>
  </si>
  <si>
    <t>Carpet Area in Sq. Ft. = 616.00</t>
  </si>
  <si>
    <t>(Area as per Agreement)</t>
  </si>
  <si>
    <t>Built Up Area in Sq. Ft. = 739.00</t>
  </si>
  <si>
    <t>(Area as per Index II)</t>
  </si>
  <si>
    <t>on Carpet</t>
  </si>
  <si>
    <t>950M</t>
  </si>
  <si>
    <t>(Area as per Agreement for Sale)</t>
  </si>
  <si>
    <t>Built Up Area in Sq. Ft. = 2,023.00</t>
  </si>
  <si>
    <t>(Area as per Mulyankan Ahwal)</t>
  </si>
  <si>
    <t xml:space="preserve">Carpet Area in Sq. Ft. = 1,685.00 </t>
  </si>
  <si>
    <t>1.1KM</t>
  </si>
  <si>
    <t>COM</t>
  </si>
  <si>
    <t>Malad, Chincholi Bunder,, Dheeraj platinum</t>
  </si>
  <si>
    <t>300M</t>
  </si>
  <si>
    <t>Chincholi Bunder Road, Dheeraj Diamond</t>
  </si>
  <si>
    <t>350M</t>
  </si>
  <si>
    <t>New Link Rd, below saraswati hospital</t>
  </si>
  <si>
    <t>Vijay Industrial Estate</t>
  </si>
  <si>
    <t>65 Sq. Ft. Area more in agreement</t>
  </si>
  <si>
    <t>Year of Construction 1997</t>
  </si>
  <si>
    <t>26 Year old</t>
  </si>
  <si>
    <t>BUA as per Index II</t>
  </si>
  <si>
    <r>
      <t>Gala / Unit No. 404, 4</t>
    </r>
    <r>
      <rPr>
        <vertAlign val="superscript"/>
        <sz val="11"/>
        <color theme="1"/>
        <rFont val="Arial Narrow"/>
        <family val="2"/>
      </rPr>
      <t>th</t>
    </r>
    <r>
      <rPr>
        <sz val="11"/>
        <color theme="1"/>
        <rFont val="Arial Narrow"/>
        <family val="2"/>
      </rPr>
      <t xml:space="preserve"> Floor, </t>
    </r>
    <r>
      <rPr>
        <b/>
        <sz val="11"/>
        <color theme="1"/>
        <rFont val="Arial Narrow"/>
        <family val="2"/>
      </rPr>
      <t>“Rimsan Estate Premises Co-Op. Soc. Ltd.”</t>
    </r>
    <r>
      <rPr>
        <sz val="11"/>
        <color theme="1"/>
        <rFont val="Arial Narrow"/>
        <family val="2"/>
      </rPr>
      <t>, Chincholi Bunder Road, Off. Link Road, Behind Club Link, Malad Creek, Malad (West), Mumbai – 400 064</t>
    </r>
  </si>
  <si>
    <t>Not mentioned in the report, in formed to Umag Sir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</si>
</sst>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 * #,##0.00_ ;_ * \-#,##0.00_ ;_ * &quot;-&quot;??_ ;_ @_ "/>
    <numFmt numFmtId="164" formatCode="_(* #,##0.00_);_(* \(#,##0.00\);_(* &quot;-&quot;??_);_(@_)"/>
    <numFmt numFmtId="165" formatCode="_ * #,##0_ ;_ * \-#,##0_ ;_ * &quot;-&quot;??_ ;_ @_ "/>
    <numFmt numFmtId="166" formatCode="0.0000"/>
    <numFmt numFmtId="167" formatCode="0.0"/>
  </numFmts>
  <fonts count="24" x14ac:knownFonts="1"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2"/>
      <color rgb="FFFF0000"/>
      <name val="Arial Narrow"/>
      <family val="2"/>
    </font>
    <font>
      <sz val="11"/>
      <color theme="1"/>
      <name val="Arial Narrow"/>
      <family val="2"/>
    </font>
    <font>
      <b/>
      <sz val="15"/>
      <color theme="1"/>
      <name val="Calibri"/>
      <family val="2"/>
      <scheme val="minor"/>
    </font>
    <font>
      <sz val="11"/>
      <name val="Arial Narrow"/>
      <family val="2"/>
    </font>
    <font>
      <sz val="11"/>
      <color rgb="FF000000"/>
      <name val="Arial Narrow"/>
      <family val="2"/>
    </font>
    <font>
      <sz val="11"/>
      <color rgb="FF00000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color rgb="FF000000"/>
      <name val="Calibri"/>
      <family val="2"/>
      <scheme val="minor"/>
    </font>
    <font>
      <sz val="11"/>
      <color rgb="FF000000"/>
      <name val="Rupee Foradian"/>
      <family val="2"/>
    </font>
    <font>
      <sz val="9"/>
      <color theme="1"/>
      <name val="Arial Narrow"/>
      <family val="2"/>
    </font>
    <font>
      <b/>
      <sz val="8"/>
      <color theme="1"/>
      <name val="Arial Narrow"/>
      <family val="2"/>
    </font>
    <font>
      <b/>
      <sz val="11"/>
      <color theme="1"/>
      <name val="Arial Narrow"/>
      <family val="2"/>
    </font>
    <font>
      <sz val="11"/>
      <color rgb="FF0000FF"/>
      <name val="Arial"/>
      <family val="2"/>
    </font>
    <font>
      <vertAlign val="superscript"/>
      <sz val="11"/>
      <color theme="1"/>
      <name val="Arial Narrow"/>
      <family val="2"/>
    </font>
    <font>
      <b/>
      <sz val="11"/>
      <color rgb="FF000000"/>
      <name val="Arial Narrow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39997558519241921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3" fontId="4" fillId="0" borderId="0" applyFont="0" applyFill="0" applyBorder="0" applyAlignment="0" applyProtection="0"/>
    <xf numFmtId="43" fontId="4" fillId="0" borderId="0" applyFont="0" applyFill="0" applyBorder="0" applyAlignment="0" applyProtection="0"/>
  </cellStyleXfs>
  <cellXfs count="131">
    <xf numFmtId="0" fontId="0" fillId="0" borderId="0" xfId="0"/>
    <xf numFmtId="0" fontId="0" fillId="0" borderId="0" xfId="0" applyAlignment="1">
      <alignment wrapText="1"/>
    </xf>
    <xf numFmtId="4" fontId="0" fillId="0" borderId="0" xfId="0" applyNumberFormat="1"/>
    <xf numFmtId="0" fontId="1" fillId="0" borderId="0" xfId="0" applyFont="1" applyAlignment="1">
      <alignment wrapText="1"/>
    </xf>
    <xf numFmtId="0" fontId="1" fillId="0" borderId="0" xfId="0" applyFont="1"/>
    <xf numFmtId="0" fontId="2" fillId="0" borderId="0" xfId="0" applyFont="1"/>
    <xf numFmtId="0" fontId="0" fillId="2" borderId="0" xfId="0" applyFill="1"/>
    <xf numFmtId="0" fontId="3" fillId="0" borderId="0" xfId="0" applyFont="1"/>
    <xf numFmtId="43" fontId="0" fillId="0" borderId="0" xfId="1" applyFont="1"/>
    <xf numFmtId="0" fontId="0" fillId="0" borderId="1" xfId="0" applyBorder="1"/>
    <xf numFmtId="0" fontId="0" fillId="0" borderId="2" xfId="0" applyBorder="1"/>
    <xf numFmtId="0" fontId="5" fillId="0" borderId="2" xfId="0" applyFont="1" applyBorder="1"/>
    <xf numFmtId="0" fontId="5" fillId="0" borderId="3" xfId="0" applyFont="1" applyBorder="1"/>
    <xf numFmtId="0" fontId="0" fillId="0" borderId="4" xfId="0" applyBorder="1"/>
    <xf numFmtId="0" fontId="5" fillId="0" borderId="0" xfId="0" applyFont="1"/>
    <xf numFmtId="0" fontId="5" fillId="0" borderId="5" xfId="0" applyFont="1" applyBorder="1"/>
    <xf numFmtId="0" fontId="0" fillId="0" borderId="5" xfId="0" applyBorder="1"/>
    <xf numFmtId="43" fontId="6" fillId="0" borderId="0" xfId="1" applyFont="1" applyBorder="1"/>
    <xf numFmtId="43" fontId="7" fillId="0" borderId="0" xfId="1" applyFont="1" applyBorder="1"/>
    <xf numFmtId="43" fontId="7" fillId="2" borderId="0" xfId="1" applyFont="1" applyFill="1" applyBorder="1"/>
    <xf numFmtId="0" fontId="0" fillId="0" borderId="4" xfId="0" applyBorder="1" applyAlignment="1">
      <alignment wrapText="1"/>
    </xf>
    <xf numFmtId="43" fontId="7" fillId="0" borderId="0" xfId="1" applyFont="1" applyFill="1" applyBorder="1"/>
    <xf numFmtId="0" fontId="6" fillId="0" borderId="0" xfId="0" applyFont="1"/>
    <xf numFmtId="0" fontId="7" fillId="0" borderId="0" xfId="0" applyFont="1"/>
    <xf numFmtId="9" fontId="6" fillId="0" borderId="0" xfId="0" applyNumberFormat="1" applyFont="1"/>
    <xf numFmtId="10" fontId="7" fillId="0" borderId="0" xfId="0" applyNumberFormat="1" applyFont="1"/>
    <xf numFmtId="0" fontId="0" fillId="2" borderId="4" xfId="0" applyFill="1" applyBorder="1"/>
    <xf numFmtId="43" fontId="6" fillId="2" borderId="0" xfId="1" applyFont="1" applyFill="1" applyBorder="1"/>
    <xf numFmtId="43" fontId="7" fillId="0" borderId="0" xfId="0" applyNumberFormat="1" applyFont="1"/>
    <xf numFmtId="43" fontId="5" fillId="0" borderId="0" xfId="0" applyNumberFormat="1" applyFont="1"/>
    <xf numFmtId="0" fontId="0" fillId="0" borderId="6" xfId="0" applyBorder="1"/>
    <xf numFmtId="0" fontId="0" fillId="0" borderId="7" xfId="0" applyBorder="1"/>
    <xf numFmtId="43" fontId="5" fillId="0" borderId="7" xfId="0" applyNumberFormat="1" applyFont="1" applyBorder="1"/>
    <xf numFmtId="0" fontId="5" fillId="0" borderId="4" xfId="0" applyFont="1" applyBorder="1"/>
    <xf numFmtId="9" fontId="0" fillId="0" borderId="0" xfId="0" applyNumberFormat="1"/>
    <xf numFmtId="0" fontId="8" fillId="0" borderId="0" xfId="0" applyFont="1"/>
    <xf numFmtId="0" fontId="9" fillId="4" borderId="0" xfId="0" applyFont="1" applyFill="1"/>
    <xf numFmtId="0" fontId="9" fillId="0" borderId="0" xfId="0" applyFont="1"/>
    <xf numFmtId="4" fontId="9" fillId="0" borderId="0" xfId="0" applyNumberFormat="1" applyFont="1"/>
    <xf numFmtId="0" fontId="0" fillId="0" borderId="8" xfId="0" applyBorder="1"/>
    <xf numFmtId="2" fontId="0" fillId="0" borderId="8" xfId="0" applyNumberFormat="1" applyBorder="1"/>
    <xf numFmtId="0" fontId="0" fillId="0" borderId="0" xfId="0" quotePrefix="1"/>
    <xf numFmtId="16" fontId="0" fillId="0" borderId="0" xfId="0" quotePrefix="1" applyNumberFormat="1"/>
    <xf numFmtId="17" fontId="0" fillId="0" borderId="0" xfId="0" quotePrefix="1" applyNumberFormat="1"/>
    <xf numFmtId="4" fontId="11" fillId="0" borderId="0" xfId="0" applyNumberFormat="1" applyFont="1"/>
    <xf numFmtId="0" fontId="2" fillId="0" borderId="8" xfId="0" applyFont="1" applyBorder="1"/>
    <xf numFmtId="0" fontId="11" fillId="0" borderId="0" xfId="0" applyFont="1"/>
    <xf numFmtId="43" fontId="0" fillId="0" borderId="8" xfId="1" applyFont="1" applyBorder="1"/>
    <xf numFmtId="164" fontId="0" fillId="0" borderId="0" xfId="0" applyNumberFormat="1"/>
    <xf numFmtId="0" fontId="2" fillId="0" borderId="8" xfId="0" applyFont="1" applyBorder="1" applyAlignment="1">
      <alignment horizontal="center" vertical="center"/>
    </xf>
    <xf numFmtId="9" fontId="0" fillId="0" borderId="8" xfId="0" applyNumberFormat="1" applyBorder="1"/>
    <xf numFmtId="43" fontId="0" fillId="2" borderId="8" xfId="1" applyFont="1" applyFill="1" applyBorder="1"/>
    <xf numFmtId="0" fontId="0" fillId="2" borderId="8" xfId="0" applyFill="1" applyBorder="1"/>
    <xf numFmtId="43" fontId="0" fillId="2" borderId="8" xfId="0" applyNumberFormat="1" applyFill="1" applyBorder="1"/>
    <xf numFmtId="0" fontId="0" fillId="0" borderId="8" xfId="0" quotePrefix="1" applyBorder="1"/>
    <xf numFmtId="16" fontId="0" fillId="0" borderId="8" xfId="0" quotePrefix="1" applyNumberFormat="1" applyBorder="1"/>
    <xf numFmtId="0" fontId="0" fillId="0" borderId="8" xfId="0" applyBorder="1" applyAlignment="1">
      <alignment wrapText="1"/>
    </xf>
    <xf numFmtId="17" fontId="0" fillId="0" borderId="8" xfId="0" quotePrefix="1" applyNumberFormat="1" applyBorder="1"/>
    <xf numFmtId="43" fontId="0" fillId="0" borderId="0" xfId="1" applyFont="1" applyBorder="1"/>
    <xf numFmtId="43" fontId="0" fillId="0" borderId="0" xfId="0" applyNumberFormat="1"/>
    <xf numFmtId="0" fontId="2" fillId="0" borderId="8" xfId="1" applyNumberFormat="1" applyFont="1" applyBorder="1"/>
    <xf numFmtId="43" fontId="2" fillId="0" borderId="8" xfId="1" applyFont="1" applyBorder="1"/>
    <xf numFmtId="43" fontId="4" fillId="0" borderId="8" xfId="1" applyFont="1" applyBorder="1"/>
    <xf numFmtId="14" fontId="0" fillId="0" borderId="0" xfId="0" applyNumberFormat="1"/>
    <xf numFmtId="165" fontId="0" fillId="0" borderId="0" xfId="1" applyNumberFormat="1" applyFont="1"/>
    <xf numFmtId="0" fontId="9" fillId="0" borderId="5" xfId="0" applyFont="1" applyBorder="1"/>
    <xf numFmtId="3" fontId="7" fillId="2" borderId="0" xfId="0" applyNumberFormat="1" applyFont="1" applyFill="1"/>
    <xf numFmtId="3" fontId="9" fillId="0" borderId="0" xfId="0" applyNumberFormat="1" applyFont="1"/>
    <xf numFmtId="43" fontId="0" fillId="0" borderId="0" xfId="1" applyFont="1" applyAlignment="1">
      <alignment horizontal="left"/>
    </xf>
    <xf numFmtId="43" fontId="0" fillId="0" borderId="0" xfId="1" applyFont="1" applyAlignment="1"/>
    <xf numFmtId="2" fontId="0" fillId="3" borderId="8" xfId="0" applyNumberFormat="1" applyFill="1" applyBorder="1"/>
    <xf numFmtId="0" fontId="0" fillId="3" borderId="8" xfId="0" applyFill="1" applyBorder="1"/>
    <xf numFmtId="2" fontId="2" fillId="3" borderId="8" xfId="0" applyNumberFormat="1" applyFont="1" applyFill="1" applyBorder="1"/>
    <xf numFmtId="0" fontId="2" fillId="3" borderId="8" xfId="0" applyFont="1" applyFill="1" applyBorder="1"/>
    <xf numFmtId="0" fontId="3" fillId="3" borderId="8" xfId="0" applyFont="1" applyFill="1" applyBorder="1"/>
    <xf numFmtId="0" fontId="7" fillId="3" borderId="8" xfId="0" applyFont="1" applyFill="1" applyBorder="1"/>
    <xf numFmtId="4" fontId="0" fillId="3" borderId="8" xfId="0" applyNumberFormat="1" applyFill="1" applyBorder="1"/>
    <xf numFmtId="0" fontId="1" fillId="3" borderId="8" xfId="0" applyFont="1" applyFill="1" applyBorder="1"/>
    <xf numFmtId="166" fontId="0" fillId="3" borderId="8" xfId="0" applyNumberFormat="1" applyFill="1" applyBorder="1"/>
    <xf numFmtId="43" fontId="0" fillId="3" borderId="8" xfId="1" applyFont="1" applyFill="1" applyBorder="1"/>
    <xf numFmtId="164" fontId="0" fillId="3" borderId="8" xfId="0" applyNumberFormat="1" applyFill="1" applyBorder="1"/>
    <xf numFmtId="167" fontId="0" fillId="0" borderId="0" xfId="0" applyNumberFormat="1"/>
    <xf numFmtId="43" fontId="4" fillId="0" borderId="0" xfId="1" applyFont="1"/>
    <xf numFmtId="0" fontId="15" fillId="0" borderId="0" xfId="0" applyFont="1"/>
    <xf numFmtId="0" fontId="13" fillId="0" borderId="0" xfId="0" applyFont="1" applyAlignment="1">
      <alignment horizontal="left" vertical="center"/>
    </xf>
    <xf numFmtId="0" fontId="14" fillId="0" borderId="0" xfId="0" applyFont="1" applyAlignment="1">
      <alignment horizontal="left" vertical="center"/>
    </xf>
    <xf numFmtId="0" fontId="16" fillId="0" borderId="0" xfId="0" applyFont="1" applyAlignment="1">
      <alignment horizontal="left" vertical="center"/>
    </xf>
    <xf numFmtId="2" fontId="2" fillId="0" borderId="8" xfId="0" applyNumberFormat="1" applyFont="1" applyBorder="1"/>
    <xf numFmtId="165" fontId="4" fillId="0" borderId="0" xfId="1" applyNumberFormat="1" applyFont="1"/>
    <xf numFmtId="43" fontId="0" fillId="0" borderId="0" xfId="1" applyFont="1" applyAlignment="1">
      <alignment horizontal="right"/>
    </xf>
    <xf numFmtId="0" fontId="12" fillId="0" borderId="0" xfId="0" applyFont="1" applyAlignment="1">
      <alignment horizontal="left" vertical="center"/>
    </xf>
    <xf numFmtId="43" fontId="4" fillId="0" borderId="0" xfId="1" applyFont="1" applyAlignment="1"/>
    <xf numFmtId="1" fontId="0" fillId="0" borderId="0" xfId="1" applyNumberFormat="1" applyFont="1" applyAlignment="1">
      <alignment horizontal="right"/>
    </xf>
    <xf numFmtId="1" fontId="0" fillId="0" borderId="0" xfId="0" applyNumberFormat="1" applyAlignment="1">
      <alignment horizontal="right"/>
    </xf>
    <xf numFmtId="1" fontId="13" fillId="0" borderId="0" xfId="0" applyNumberFormat="1" applyFont="1" applyAlignment="1">
      <alignment horizontal="right" vertical="center"/>
    </xf>
    <xf numFmtId="1" fontId="13" fillId="0" borderId="0" xfId="0" applyNumberFormat="1" applyFont="1" applyAlignment="1">
      <alignment horizontal="right"/>
    </xf>
    <xf numFmtId="43" fontId="0" fillId="0" borderId="0" xfId="1" quotePrefix="1" applyFont="1"/>
    <xf numFmtId="0" fontId="0" fillId="0" borderId="0" xfId="0" applyAlignment="1">
      <alignment horizontal="left" vertical="center"/>
    </xf>
    <xf numFmtId="0" fontId="17" fillId="0" borderId="0" xfId="0" applyFont="1" applyAlignment="1">
      <alignment vertical="center"/>
    </xf>
    <xf numFmtId="0" fontId="18" fillId="0" borderId="0" xfId="0" applyFont="1"/>
    <xf numFmtId="0" fontId="20" fillId="0" borderId="0" xfId="0" applyFont="1"/>
    <xf numFmtId="1" fontId="0" fillId="0" borderId="0" xfId="0" applyNumberFormat="1" applyAlignment="1">
      <alignment horizontal="left"/>
    </xf>
    <xf numFmtId="3" fontId="0" fillId="0" borderId="0" xfId="0" applyNumberFormat="1"/>
    <xf numFmtId="1" fontId="0" fillId="0" borderId="0" xfId="0" applyNumberFormat="1"/>
    <xf numFmtId="0" fontId="0" fillId="0" borderId="0" xfId="0" applyAlignment="1">
      <alignment horizontal="left"/>
    </xf>
    <xf numFmtId="0" fontId="19" fillId="0" borderId="0" xfId="0" applyFont="1" applyAlignment="1">
      <alignment horizontal="left" vertical="center"/>
    </xf>
    <xf numFmtId="0" fontId="9" fillId="0" borderId="0" xfId="0" applyFont="1" applyAlignment="1">
      <alignment horizontal="left" vertical="center"/>
    </xf>
    <xf numFmtId="4" fontId="9" fillId="0" borderId="0" xfId="0" applyNumberFormat="1" applyFont="1" applyAlignment="1">
      <alignment horizontal="right" vertical="center" wrapText="1"/>
    </xf>
    <xf numFmtId="0" fontId="1" fillId="3" borderId="0" xfId="0" applyFont="1" applyFill="1" applyAlignment="1">
      <alignment wrapText="1"/>
    </xf>
    <xf numFmtId="4" fontId="1" fillId="3" borderId="0" xfId="0" applyNumberFormat="1" applyFont="1" applyFill="1"/>
    <xf numFmtId="0" fontId="1" fillId="3" borderId="0" xfId="0" applyFont="1" applyFill="1"/>
    <xf numFmtId="0" fontId="0" fillId="3" borderId="0" xfId="0" applyFill="1"/>
    <xf numFmtId="4" fontId="0" fillId="3" borderId="0" xfId="0" applyNumberFormat="1" applyFill="1"/>
    <xf numFmtId="4" fontId="1" fillId="0" borderId="0" xfId="0" applyNumberFormat="1" applyFont="1"/>
    <xf numFmtId="43" fontId="0" fillId="3" borderId="0" xfId="1" applyFont="1" applyFill="1" applyBorder="1"/>
    <xf numFmtId="0" fontId="12" fillId="0" borderId="0" xfId="0" applyFont="1"/>
    <xf numFmtId="0" fontId="21" fillId="0" borderId="0" xfId="0" applyFont="1"/>
    <xf numFmtId="0" fontId="1" fillId="2" borderId="0" xfId="0" applyFont="1" applyFill="1"/>
    <xf numFmtId="4" fontId="0" fillId="2" borderId="0" xfId="0" applyNumberFormat="1" applyFill="1"/>
    <xf numFmtId="43" fontId="0" fillId="2" borderId="0" xfId="1" applyFont="1" applyFill="1"/>
    <xf numFmtId="0" fontId="23" fillId="0" borderId="0" xfId="0" applyFont="1" applyAlignment="1">
      <alignment horizontal="left" vertical="center"/>
    </xf>
    <xf numFmtId="0" fontId="23" fillId="0" borderId="0" xfId="0" applyFont="1" applyAlignment="1">
      <alignment horizontal="left"/>
    </xf>
    <xf numFmtId="4" fontId="9" fillId="0" borderId="0" xfId="0" applyNumberFormat="1" applyFont="1" applyAlignment="1">
      <alignment horizontal="left"/>
    </xf>
    <xf numFmtId="0" fontId="20" fillId="0" borderId="0" xfId="0" applyFont="1" applyAlignment="1">
      <alignment vertical="center"/>
    </xf>
    <xf numFmtId="0" fontId="19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3" fontId="20" fillId="0" borderId="0" xfId="0" applyNumberFormat="1" applyFont="1"/>
    <xf numFmtId="43" fontId="0" fillId="3" borderId="0" xfId="1" applyFont="1" applyFill="1"/>
    <xf numFmtId="43" fontId="2" fillId="0" borderId="8" xfId="1" applyFont="1" applyBorder="1" applyAlignment="1"/>
    <xf numFmtId="43" fontId="0" fillId="0" borderId="8" xfId="1" applyFont="1" applyBorder="1" applyAlignment="1">
      <alignment horizontal="right"/>
    </xf>
    <xf numFmtId="0" fontId="10" fillId="0" borderId="8" xfId="0" applyFont="1" applyBorder="1" applyAlignment="1">
      <alignment horizontal="center"/>
    </xf>
  </cellXfs>
  <cellStyles count="3">
    <cellStyle name="Comma" xfId="1" builtinId="3"/>
    <cellStyle name="Comma 2" xfId="2" xr:uid="{C1C4E7DC-7879-48E2-8DB7-EA7705F6F507}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257734</xdr:colOff>
      <xdr:row>37</xdr:row>
      <xdr:rowOff>162485</xdr:rowOff>
    </xdr:from>
    <xdr:to>
      <xdr:col>9</xdr:col>
      <xdr:colOff>568764</xdr:colOff>
      <xdr:row>50</xdr:row>
      <xdr:rowOff>78001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940B321-0CA4-5319-0E36-3C3A5CDEB5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8697" t="11891" r="6653" b="-163"/>
        <a:stretch/>
      </xdr:blipFill>
      <xdr:spPr>
        <a:xfrm>
          <a:off x="7317440" y="7804897"/>
          <a:ext cx="2160000" cy="2672163"/>
        </a:xfrm>
        <a:prstGeom prst="rect">
          <a:avLst/>
        </a:prstGeom>
      </xdr:spPr>
    </xdr:pic>
    <xdr:clientData/>
  </xdr:twoCellAnchor>
  <xdr:twoCellAnchor editAs="oneCell">
    <xdr:from>
      <xdr:col>6</xdr:col>
      <xdr:colOff>22413</xdr:colOff>
      <xdr:row>38</xdr:row>
      <xdr:rowOff>22411</xdr:rowOff>
    </xdr:from>
    <xdr:to>
      <xdr:col>7</xdr:col>
      <xdr:colOff>7060</xdr:colOff>
      <xdr:row>46</xdr:row>
      <xdr:rowOff>27550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EB56F0E-EE82-E76B-6B78-F3C906A27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8273" r="11065" b="3174"/>
        <a:stretch/>
      </xdr:blipFill>
      <xdr:spPr>
        <a:xfrm>
          <a:off x="5266766" y="7877735"/>
          <a:ext cx="1800000" cy="169722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0</xdr:row>
      <xdr:rowOff>0</xdr:rowOff>
    </xdr:from>
    <xdr:to>
      <xdr:col>36</xdr:col>
      <xdr:colOff>607314</xdr:colOff>
      <xdr:row>55</xdr:row>
      <xdr:rowOff>74914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5D151AD-E2BA-D497-0E08-BA7E623A3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720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2E86C4D-3F00-548F-0FB2-A3690A3B4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BCA1B1C-9961-F97D-EF1B-D1CDA143F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10F7A13-8788-ECD2-91BF-5B11CEDD3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241B6CF-3ABE-AC95-1C37-F3C6E16AE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ABA6A23-7FD9-070A-6811-6FDE194B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4768E3-1E13-AF78-A275-E9D9406D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D46728-9F57-6A3B-9296-498E1A397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7D2C732-5084-FCBD-8576-FA5A0D1AC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1A524BA-4E04-F1CF-2119-0F2B7358A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CA2E0B8-1F95-531C-CD0B-DC9CE01B1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82DA04-479A-0612-00FF-162997031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AD98D62-5578-1709-FA7C-28714CFB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BA1E815-7B9B-E6E8-3C7E-2F43F92CA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29</xdr:col>
      <xdr:colOff>607314</xdr:colOff>
      <xdr:row>109</xdr:row>
      <xdr:rowOff>189214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CBD052F-B844-AE8D-18CC-D7D94BE77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668000"/>
          <a:ext cx="18285714" cy="1028571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BAADA5A-9901-C0E0-C0E9-B227CD7E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102857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0CC1B-D9A9-4D3E-AA17-3A26E8FC3FA7}">
  <dimension ref="B3:L21"/>
  <sheetViews>
    <sheetView zoomScale="115" zoomScaleNormal="115" workbookViewId="0">
      <selection activeCell="G16" sqref="G16"/>
    </sheetView>
  </sheetViews>
  <sheetFormatPr defaultRowHeight="15" x14ac:dyDescent="0.25"/>
  <cols>
    <col min="1" max="1" width="10.5703125" customWidth="1"/>
    <col min="2" max="2" width="42.42578125" bestFit="1" customWidth="1"/>
    <col min="3" max="3" width="12.28515625" bestFit="1" customWidth="1"/>
    <col min="4" max="4" width="7.85546875" bestFit="1" customWidth="1"/>
    <col min="5" max="5" width="10" bestFit="1" customWidth="1"/>
    <col min="6" max="6" width="6.42578125" bestFit="1" customWidth="1"/>
    <col min="7" max="7" width="11.5703125" bestFit="1" customWidth="1"/>
    <col min="8" max="8" width="12.7109375" bestFit="1" customWidth="1"/>
    <col min="9" max="9" width="4.5703125" bestFit="1" customWidth="1"/>
    <col min="10" max="10" width="12.28515625" bestFit="1" customWidth="1"/>
    <col min="11" max="11" width="12.5703125" bestFit="1" customWidth="1"/>
    <col min="12" max="12" width="12" bestFit="1" customWidth="1"/>
  </cols>
  <sheetData>
    <row r="3" spans="2:12" x14ac:dyDescent="0.25">
      <c r="B3" s="39" t="s">
        <v>59</v>
      </c>
      <c r="C3" s="47">
        <v>69600</v>
      </c>
      <c r="D3" s="39"/>
      <c r="E3" s="39"/>
      <c r="F3" s="39"/>
      <c r="H3" s="49" t="s">
        <v>37</v>
      </c>
      <c r="I3" s="49"/>
      <c r="J3" s="49" t="s">
        <v>38</v>
      </c>
      <c r="K3" s="49" t="s">
        <v>39</v>
      </c>
      <c r="L3" s="49" t="s">
        <v>40</v>
      </c>
    </row>
    <row r="4" spans="2:12" x14ac:dyDescent="0.25">
      <c r="B4" s="39" t="s">
        <v>83</v>
      </c>
      <c r="C4" s="47">
        <f>C3*10%</f>
        <v>6960</v>
      </c>
      <c r="D4" s="39"/>
      <c r="E4" s="39"/>
      <c r="F4" s="39"/>
      <c r="H4" s="50" t="s">
        <v>41</v>
      </c>
      <c r="I4" s="39" t="s">
        <v>42</v>
      </c>
      <c r="J4" s="39" t="s">
        <v>43</v>
      </c>
      <c r="K4" s="39">
        <v>2554.8123374210331</v>
      </c>
      <c r="L4" s="39">
        <v>2248.2348569305091</v>
      </c>
    </row>
    <row r="5" spans="2:12" x14ac:dyDescent="0.25">
      <c r="B5" s="39" t="s">
        <v>61</v>
      </c>
      <c r="C5" s="51">
        <f>C3+C4</f>
        <v>76560</v>
      </c>
      <c r="D5" s="52" t="s">
        <v>62</v>
      </c>
      <c r="E5" s="53">
        <f>C5/10.764</f>
        <v>7112.5975473801564</v>
      </c>
      <c r="F5" s="52" t="s">
        <v>63</v>
      </c>
      <c r="H5" s="54" t="s">
        <v>44</v>
      </c>
      <c r="I5" s="50">
        <v>0.95</v>
      </c>
      <c r="J5" s="39"/>
      <c r="K5" s="39" t="s">
        <v>45</v>
      </c>
      <c r="L5" s="39" t="s">
        <v>42</v>
      </c>
    </row>
    <row r="6" spans="2:12" x14ac:dyDescent="0.25">
      <c r="B6" s="39" t="s">
        <v>64</v>
      </c>
      <c r="C6" s="47">
        <v>22400</v>
      </c>
      <c r="D6" s="39"/>
      <c r="E6" s="39"/>
      <c r="F6" s="39"/>
      <c r="H6" s="55" t="s">
        <v>46</v>
      </c>
      <c r="I6" s="50">
        <v>0.9</v>
      </c>
      <c r="J6" s="39" t="s">
        <v>47</v>
      </c>
      <c r="K6" s="39" t="s">
        <v>48</v>
      </c>
      <c r="L6" s="39" t="s">
        <v>49</v>
      </c>
    </row>
    <row r="7" spans="2:12" x14ac:dyDescent="0.25">
      <c r="B7" s="39"/>
      <c r="C7" s="47">
        <f>C5-C6</f>
        <v>54160</v>
      </c>
      <c r="D7" s="39"/>
      <c r="E7" s="39"/>
      <c r="F7" s="39"/>
      <c r="H7" s="54" t="s">
        <v>50</v>
      </c>
      <c r="I7" s="50">
        <v>0.8</v>
      </c>
      <c r="J7" s="39"/>
      <c r="K7" s="54" t="s">
        <v>46</v>
      </c>
      <c r="L7" s="50">
        <v>0.05</v>
      </c>
    </row>
    <row r="8" spans="2:12" ht="30" x14ac:dyDescent="0.25">
      <c r="B8" s="56" t="s">
        <v>84</v>
      </c>
      <c r="C8" s="47">
        <f>C7*92%</f>
        <v>49827.200000000004</v>
      </c>
      <c r="D8" s="39"/>
      <c r="E8" s="39"/>
      <c r="F8" s="39"/>
      <c r="H8" s="54" t="s">
        <v>51</v>
      </c>
      <c r="I8" s="50">
        <v>0.7</v>
      </c>
      <c r="J8" s="39"/>
      <c r="K8" s="57" t="s">
        <v>52</v>
      </c>
      <c r="L8" s="50">
        <v>0.1</v>
      </c>
    </row>
    <row r="9" spans="2:12" x14ac:dyDescent="0.25">
      <c r="B9" s="39" t="s">
        <v>65</v>
      </c>
      <c r="C9" s="51">
        <f>C6+C8</f>
        <v>72227.200000000012</v>
      </c>
      <c r="D9" s="52" t="s">
        <v>62</v>
      </c>
      <c r="E9" s="53">
        <f>C9/10.764</f>
        <v>6710.0706057227808</v>
      </c>
      <c r="F9" s="52" t="s">
        <v>63</v>
      </c>
      <c r="H9" s="54" t="s">
        <v>53</v>
      </c>
      <c r="I9" s="50">
        <v>0.6</v>
      </c>
      <c r="J9" s="39"/>
      <c r="K9" s="39" t="s">
        <v>54</v>
      </c>
      <c r="L9" s="50">
        <v>0.15</v>
      </c>
    </row>
    <row r="10" spans="2:12" x14ac:dyDescent="0.25">
      <c r="C10" s="58"/>
      <c r="H10" s="39" t="s">
        <v>55</v>
      </c>
      <c r="I10" s="50">
        <v>0.5</v>
      </c>
      <c r="J10" s="39"/>
      <c r="K10" s="39" t="s">
        <v>56</v>
      </c>
      <c r="L10" s="50">
        <v>0.2</v>
      </c>
    </row>
    <row r="11" spans="2:12" x14ac:dyDescent="0.25">
      <c r="B11" s="45" t="s">
        <v>69</v>
      </c>
      <c r="C11" s="60">
        <v>2023</v>
      </c>
      <c r="H11" s="39" t="s">
        <v>57</v>
      </c>
      <c r="I11" s="50">
        <v>0.4</v>
      </c>
      <c r="J11" s="39"/>
      <c r="K11" s="39"/>
      <c r="L11" s="39"/>
    </row>
    <row r="12" spans="2:12" x14ac:dyDescent="0.25">
      <c r="B12" s="45" t="s">
        <v>70</v>
      </c>
      <c r="C12" s="60">
        <v>2015</v>
      </c>
      <c r="D12" s="59"/>
      <c r="H12" s="39" t="s">
        <v>58</v>
      </c>
      <c r="I12" s="50">
        <v>0.3</v>
      </c>
      <c r="J12" s="39"/>
      <c r="K12" s="39"/>
      <c r="L12" s="39"/>
    </row>
    <row r="13" spans="2:12" x14ac:dyDescent="0.25">
      <c r="B13" s="45" t="s">
        <v>71</v>
      </c>
      <c r="C13" s="60">
        <f>C11-C12</f>
        <v>8</v>
      </c>
    </row>
    <row r="15" spans="2:12" x14ac:dyDescent="0.25">
      <c r="B15" s="39" t="s">
        <v>59</v>
      </c>
      <c r="C15" s="47">
        <v>93700</v>
      </c>
      <c r="D15" s="39"/>
      <c r="E15" s="39"/>
      <c r="F15" s="39"/>
    </row>
    <row r="16" spans="2:12" x14ac:dyDescent="0.25">
      <c r="B16" s="39" t="s">
        <v>60</v>
      </c>
      <c r="C16" s="47">
        <f>C15*5%</f>
        <v>4685</v>
      </c>
      <c r="D16" s="39"/>
      <c r="E16" s="39"/>
      <c r="F16" s="39"/>
      <c r="K16" s="16"/>
    </row>
    <row r="17" spans="2:11" x14ac:dyDescent="0.25">
      <c r="B17" s="39" t="s">
        <v>61</v>
      </c>
      <c r="C17" s="51">
        <f>C15+C16</f>
        <v>98385</v>
      </c>
      <c r="D17" s="52" t="s">
        <v>62</v>
      </c>
      <c r="E17" s="53">
        <f>C17/10.764</f>
        <v>9140.1895206243044</v>
      </c>
      <c r="F17" s="52" t="s">
        <v>63</v>
      </c>
      <c r="K17" s="16"/>
    </row>
    <row r="18" spans="2:11" ht="16.5" x14ac:dyDescent="0.3">
      <c r="B18" s="39" t="s">
        <v>66</v>
      </c>
      <c r="C18" s="47">
        <v>26620</v>
      </c>
      <c r="D18" s="39"/>
      <c r="E18" s="39"/>
      <c r="F18" s="39"/>
      <c r="K18" s="65"/>
    </row>
    <row r="19" spans="2:11" x14ac:dyDescent="0.25">
      <c r="B19" s="39" t="s">
        <v>67</v>
      </c>
      <c r="C19" s="47">
        <f>C17-C18</f>
        <v>71765</v>
      </c>
      <c r="D19" s="39"/>
      <c r="E19" s="39"/>
      <c r="F19" s="39"/>
    </row>
    <row r="20" spans="2:11" ht="45" x14ac:dyDescent="0.25">
      <c r="B20" s="56" t="s">
        <v>68</v>
      </c>
      <c r="C20" s="47">
        <f>C18*80%</f>
        <v>21296</v>
      </c>
      <c r="D20" s="39"/>
      <c r="E20" s="39"/>
      <c r="F20" s="39"/>
    </row>
    <row r="21" spans="2:11" x14ac:dyDescent="0.25">
      <c r="B21" s="39" t="s">
        <v>65</v>
      </c>
      <c r="C21" s="51">
        <f>C19+C20</f>
        <v>93061</v>
      </c>
      <c r="D21" s="52" t="s">
        <v>62</v>
      </c>
      <c r="E21" s="53">
        <f>C21/10.764</f>
        <v>8645.5778520995918</v>
      </c>
      <c r="F21" s="52" t="s">
        <v>63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9819C3-A419-40E3-A218-F311660BDD18}">
  <dimension ref="A1:W35"/>
  <sheetViews>
    <sheetView topLeftCell="D1" zoomScaleNormal="100" workbookViewId="0">
      <selection activeCell="N15" sqref="N15"/>
    </sheetView>
  </sheetViews>
  <sheetFormatPr defaultRowHeight="15" x14ac:dyDescent="0.25"/>
  <cols>
    <col min="11" max="11" width="11.28515625" bestFit="1" customWidth="1"/>
    <col min="12" max="14" width="8.85546875" customWidth="1"/>
    <col min="15" max="15" width="11.28515625" bestFit="1" customWidth="1"/>
    <col min="16" max="18" width="8" customWidth="1"/>
    <col min="20" max="20" width="6.5703125" customWidth="1"/>
    <col min="21" max="21" width="13.42578125" customWidth="1"/>
  </cols>
  <sheetData>
    <row r="1" spans="1:23" ht="19.5" x14ac:dyDescent="0.3">
      <c r="A1" s="36" t="s">
        <v>29</v>
      </c>
      <c r="B1" s="36" t="s">
        <v>30</v>
      </c>
      <c r="C1" s="36" t="s">
        <v>31</v>
      </c>
      <c r="D1" s="36" t="s">
        <v>30</v>
      </c>
      <c r="E1" s="37" t="s">
        <v>32</v>
      </c>
      <c r="F1" s="37" t="s">
        <v>33</v>
      </c>
      <c r="G1" s="37" t="s">
        <v>34</v>
      </c>
      <c r="H1" s="37" t="s">
        <v>34</v>
      </c>
      <c r="I1" s="38" t="s">
        <v>35</v>
      </c>
      <c r="J1" s="38" t="s">
        <v>36</v>
      </c>
      <c r="K1" s="130"/>
      <c r="L1" s="130"/>
      <c r="M1" s="130"/>
      <c r="N1" s="130"/>
      <c r="O1" s="130"/>
      <c r="P1" s="130"/>
      <c r="Q1" s="130"/>
      <c r="R1" s="130"/>
    </row>
    <row r="2" spans="1:23" ht="16.5" x14ac:dyDescent="0.3">
      <c r="A2" s="36">
        <v>10</v>
      </c>
      <c r="B2" s="36">
        <v>4.5</v>
      </c>
      <c r="C2" s="36">
        <v>9</v>
      </c>
      <c r="D2" s="36">
        <v>0</v>
      </c>
      <c r="E2" s="37">
        <v>15</v>
      </c>
      <c r="F2" s="37">
        <v>3</v>
      </c>
      <c r="G2" s="37">
        <v>8</v>
      </c>
      <c r="H2" s="37">
        <v>4</v>
      </c>
      <c r="I2" s="38">
        <f t="shared" ref="I2" si="0">G2*H2</f>
        <v>32</v>
      </c>
      <c r="J2" s="38">
        <f>I2</f>
        <v>32</v>
      </c>
      <c r="K2" s="39" t="s">
        <v>99</v>
      </c>
      <c r="L2" s="39">
        <v>10.99</v>
      </c>
      <c r="M2" s="39">
        <v>8.67</v>
      </c>
      <c r="N2" s="40">
        <f>L2*M2</f>
        <v>95.283299999999997</v>
      </c>
      <c r="O2" s="39"/>
      <c r="P2" s="39"/>
      <c r="Q2" s="39"/>
      <c r="R2" s="39"/>
      <c r="S2" t="s">
        <v>37</v>
      </c>
      <c r="U2" t="s">
        <v>38</v>
      </c>
      <c r="V2" t="s">
        <v>39</v>
      </c>
      <c r="W2" t="s">
        <v>40</v>
      </c>
    </row>
    <row r="3" spans="1:23" ht="16.5" x14ac:dyDescent="0.3">
      <c r="A3" s="36">
        <v>15</v>
      </c>
      <c r="B3" s="36">
        <v>0</v>
      </c>
      <c r="C3" s="36">
        <v>9</v>
      </c>
      <c r="D3" s="36">
        <v>0</v>
      </c>
      <c r="E3" s="37">
        <f t="shared" ref="E3:I23" si="1">B3/12</f>
        <v>0</v>
      </c>
      <c r="F3" s="37">
        <f t="shared" ref="F3:F30" si="2">D3/12</f>
        <v>0</v>
      </c>
      <c r="G3" s="37">
        <f t="shared" ref="G3:G30" si="3">A3+E3</f>
        <v>15</v>
      </c>
      <c r="H3" s="37">
        <f t="shared" ref="H3:H30" si="4">C3+F3</f>
        <v>9</v>
      </c>
      <c r="I3" s="38">
        <f t="shared" ref="I3:I22" si="5">G3*H3</f>
        <v>135</v>
      </c>
      <c r="J3" s="38">
        <f>J2+I3</f>
        <v>167</v>
      </c>
      <c r="K3" s="39" t="s">
        <v>92</v>
      </c>
      <c r="L3" s="39">
        <v>6.96</v>
      </c>
      <c r="M3" s="39">
        <v>3.71</v>
      </c>
      <c r="N3" s="40">
        <f t="shared" ref="N3:N8" si="6">L3*M3</f>
        <v>25.8216</v>
      </c>
      <c r="O3" s="39"/>
      <c r="P3" s="39"/>
      <c r="Q3" s="39"/>
      <c r="R3" s="39"/>
      <c r="S3" s="34" t="s">
        <v>41</v>
      </c>
      <c r="T3" t="s">
        <v>42</v>
      </c>
      <c r="U3" t="s">
        <v>43</v>
      </c>
      <c r="V3">
        <f>27500/10.764</f>
        <v>2554.8123374210331</v>
      </c>
      <c r="W3">
        <f>24200/10.764</f>
        <v>2248.2348569305091</v>
      </c>
    </row>
    <row r="4" spans="1:23" ht="16.5" x14ac:dyDescent="0.3">
      <c r="A4" s="36">
        <v>8</v>
      </c>
      <c r="B4" s="36">
        <v>0</v>
      </c>
      <c r="C4" s="36">
        <v>7</v>
      </c>
      <c r="D4" s="36">
        <v>0</v>
      </c>
      <c r="E4" s="37">
        <f t="shared" si="1"/>
        <v>0</v>
      </c>
      <c r="F4" s="37">
        <f t="shared" si="2"/>
        <v>0</v>
      </c>
      <c r="G4" s="37">
        <f t="shared" si="3"/>
        <v>8</v>
      </c>
      <c r="H4" s="37">
        <f t="shared" si="4"/>
        <v>7</v>
      </c>
      <c r="I4" s="38">
        <f t="shared" si="5"/>
        <v>56</v>
      </c>
      <c r="J4" s="38">
        <f t="shared" ref="J4:J30" si="7">J3+I4</f>
        <v>223</v>
      </c>
      <c r="K4" s="39" t="s">
        <v>99</v>
      </c>
      <c r="L4" s="39">
        <v>15.67</v>
      </c>
      <c r="M4" s="39">
        <v>11.58</v>
      </c>
      <c r="N4" s="40">
        <f t="shared" si="6"/>
        <v>181.45859999999999</v>
      </c>
      <c r="O4" s="39"/>
      <c r="P4" s="39"/>
      <c r="Q4" s="39"/>
      <c r="R4" s="39"/>
      <c r="S4" s="41" t="s">
        <v>44</v>
      </c>
      <c r="T4" s="34">
        <v>0.95</v>
      </c>
      <c r="V4" t="s">
        <v>45</v>
      </c>
      <c r="W4" t="s">
        <v>42</v>
      </c>
    </row>
    <row r="5" spans="1:23" ht="16.5" x14ac:dyDescent="0.3">
      <c r="A5" s="36">
        <v>3</v>
      </c>
      <c r="B5" s="36">
        <v>0</v>
      </c>
      <c r="C5" s="36">
        <v>11</v>
      </c>
      <c r="D5" s="36">
        <v>0</v>
      </c>
      <c r="E5" s="37">
        <f t="shared" si="1"/>
        <v>0</v>
      </c>
      <c r="F5" s="37">
        <f t="shared" si="2"/>
        <v>0</v>
      </c>
      <c r="G5" s="37">
        <f t="shared" si="3"/>
        <v>3</v>
      </c>
      <c r="H5" s="37">
        <f t="shared" si="4"/>
        <v>11</v>
      </c>
      <c r="I5" s="38">
        <f t="shared" si="5"/>
        <v>33</v>
      </c>
      <c r="J5" s="38">
        <f t="shared" si="7"/>
        <v>256</v>
      </c>
      <c r="K5" s="39" t="s">
        <v>98</v>
      </c>
      <c r="L5" s="39">
        <v>7.95</v>
      </c>
      <c r="M5" s="39">
        <v>7.24</v>
      </c>
      <c r="N5" s="40">
        <f t="shared" si="6"/>
        <v>57.558</v>
      </c>
      <c r="O5" s="39"/>
      <c r="P5" s="39"/>
      <c r="Q5" s="39"/>
      <c r="R5" s="40"/>
      <c r="S5" s="42" t="s">
        <v>46</v>
      </c>
      <c r="T5" s="34">
        <v>0.9</v>
      </c>
      <c r="U5" t="s">
        <v>47</v>
      </c>
      <c r="V5" t="s">
        <v>48</v>
      </c>
      <c r="W5" t="s">
        <v>49</v>
      </c>
    </row>
    <row r="6" spans="1:23" ht="16.5" x14ac:dyDescent="0.3">
      <c r="A6" s="36">
        <v>3</v>
      </c>
      <c r="B6" s="36">
        <v>6</v>
      </c>
      <c r="C6" s="36">
        <v>7</v>
      </c>
      <c r="D6" s="36">
        <v>0</v>
      </c>
      <c r="E6" s="37">
        <f t="shared" si="1"/>
        <v>0.5</v>
      </c>
      <c r="F6" s="37">
        <f t="shared" si="2"/>
        <v>0</v>
      </c>
      <c r="G6" s="37">
        <f t="shared" si="3"/>
        <v>3.5</v>
      </c>
      <c r="H6" s="37">
        <f t="shared" si="4"/>
        <v>7</v>
      </c>
      <c r="I6" s="38">
        <f t="shared" si="5"/>
        <v>24.5</v>
      </c>
      <c r="J6" s="38">
        <f t="shared" si="7"/>
        <v>280.5</v>
      </c>
      <c r="K6" s="39" t="s">
        <v>102</v>
      </c>
      <c r="L6" s="39">
        <v>7.83</v>
      </c>
      <c r="M6" s="39">
        <v>11.51</v>
      </c>
      <c r="N6" s="40">
        <f t="shared" si="6"/>
        <v>90.1233</v>
      </c>
      <c r="O6" s="39"/>
      <c r="P6" s="39"/>
      <c r="Q6" s="39"/>
      <c r="R6" s="40"/>
      <c r="S6" s="41" t="s">
        <v>50</v>
      </c>
      <c r="T6" s="34">
        <v>0.8</v>
      </c>
      <c r="V6" s="41" t="s">
        <v>46</v>
      </c>
      <c r="W6" s="34">
        <v>0.05</v>
      </c>
    </row>
    <row r="7" spans="1:23" ht="16.5" x14ac:dyDescent="0.3">
      <c r="A7" s="36">
        <v>0</v>
      </c>
      <c r="B7" s="36">
        <v>0</v>
      </c>
      <c r="C7" s="36">
        <v>0</v>
      </c>
      <c r="D7" s="36">
        <v>0</v>
      </c>
      <c r="E7" s="37">
        <f t="shared" si="1"/>
        <v>0</v>
      </c>
      <c r="F7" s="37">
        <f t="shared" si="2"/>
        <v>0</v>
      </c>
      <c r="G7" s="37">
        <f t="shared" si="3"/>
        <v>0</v>
      </c>
      <c r="H7" s="37">
        <f t="shared" si="4"/>
        <v>0</v>
      </c>
      <c r="I7" s="38">
        <f t="shared" si="5"/>
        <v>0</v>
      </c>
      <c r="J7" s="38">
        <f t="shared" si="7"/>
        <v>280.5</v>
      </c>
      <c r="K7" s="39" t="s">
        <v>101</v>
      </c>
      <c r="L7" s="39">
        <v>3.73</v>
      </c>
      <c r="M7" s="39">
        <v>4.0999999999999996</v>
      </c>
      <c r="N7" s="40">
        <f t="shared" si="6"/>
        <v>15.292999999999999</v>
      </c>
      <c r="O7" s="39"/>
      <c r="P7" s="39"/>
      <c r="Q7" s="39"/>
      <c r="R7" s="40"/>
      <c r="S7" s="41" t="s">
        <v>51</v>
      </c>
      <c r="T7" s="34">
        <v>0.7</v>
      </c>
      <c r="V7" s="43" t="s">
        <v>52</v>
      </c>
      <c r="W7" s="34">
        <v>0.1</v>
      </c>
    </row>
    <row r="8" spans="1:23" ht="16.5" x14ac:dyDescent="0.3">
      <c r="A8" s="36">
        <v>0</v>
      </c>
      <c r="B8" s="36">
        <v>0</v>
      </c>
      <c r="C8" s="36">
        <v>0</v>
      </c>
      <c r="D8" s="36">
        <v>0</v>
      </c>
      <c r="E8" s="37">
        <f t="shared" si="1"/>
        <v>0</v>
      </c>
      <c r="F8" s="37">
        <f t="shared" si="2"/>
        <v>0</v>
      </c>
      <c r="G8" s="37">
        <f t="shared" si="3"/>
        <v>0</v>
      </c>
      <c r="H8" s="37">
        <f t="shared" si="4"/>
        <v>0</v>
      </c>
      <c r="I8" s="38">
        <f t="shared" si="5"/>
        <v>0</v>
      </c>
      <c r="J8" s="38">
        <f t="shared" si="7"/>
        <v>280.5</v>
      </c>
      <c r="K8" s="39" t="s">
        <v>100</v>
      </c>
      <c r="L8" s="39">
        <v>4</v>
      </c>
      <c r="M8" s="39">
        <v>4</v>
      </c>
      <c r="N8" s="40">
        <f t="shared" si="6"/>
        <v>16</v>
      </c>
      <c r="O8" s="39"/>
      <c r="P8" s="39"/>
      <c r="Q8" s="39"/>
      <c r="R8" s="40"/>
      <c r="S8" s="41" t="s">
        <v>53</v>
      </c>
      <c r="T8" s="34">
        <v>0.6</v>
      </c>
      <c r="V8" t="s">
        <v>54</v>
      </c>
      <c r="W8" s="34">
        <v>0.15</v>
      </c>
    </row>
    <row r="9" spans="1:23" ht="16.5" x14ac:dyDescent="0.3">
      <c r="A9" s="36">
        <v>0</v>
      </c>
      <c r="B9" s="36">
        <v>0</v>
      </c>
      <c r="C9" s="36">
        <v>0</v>
      </c>
      <c r="D9" s="36">
        <v>0</v>
      </c>
      <c r="E9" s="37">
        <f t="shared" si="1"/>
        <v>0</v>
      </c>
      <c r="F9" s="37">
        <f t="shared" si="2"/>
        <v>0</v>
      </c>
      <c r="G9" s="37">
        <f t="shared" si="3"/>
        <v>0</v>
      </c>
      <c r="H9" s="37">
        <f t="shared" si="4"/>
        <v>0</v>
      </c>
      <c r="I9" s="38">
        <f t="shared" si="5"/>
        <v>0</v>
      </c>
      <c r="J9" s="38">
        <f t="shared" si="7"/>
        <v>280.5</v>
      </c>
      <c r="K9" s="39"/>
      <c r="L9" s="39"/>
      <c r="M9" s="39"/>
      <c r="N9" s="40">
        <f>SUM(N2:N8)</f>
        <v>481.53779999999995</v>
      </c>
      <c r="O9" s="39"/>
      <c r="P9" s="39"/>
      <c r="Q9" s="39"/>
      <c r="R9" s="40"/>
      <c r="S9" t="s">
        <v>55</v>
      </c>
      <c r="T9" s="34">
        <v>0.5</v>
      </c>
      <c r="V9" t="s">
        <v>56</v>
      </c>
      <c r="W9" s="34">
        <v>0.2</v>
      </c>
    </row>
    <row r="10" spans="1:23" ht="16.5" x14ac:dyDescent="0.3">
      <c r="A10" s="36">
        <v>0</v>
      </c>
      <c r="B10" s="36">
        <v>0</v>
      </c>
      <c r="C10" s="36">
        <v>0</v>
      </c>
      <c r="D10" s="36">
        <v>0</v>
      </c>
      <c r="E10" s="37">
        <f t="shared" si="1"/>
        <v>0</v>
      </c>
      <c r="F10" s="37">
        <f t="shared" si="2"/>
        <v>0</v>
      </c>
      <c r="G10" s="37">
        <f t="shared" si="3"/>
        <v>0</v>
      </c>
      <c r="H10" s="37">
        <f t="shared" si="4"/>
        <v>0</v>
      </c>
      <c r="I10" s="38">
        <f t="shared" si="5"/>
        <v>0</v>
      </c>
      <c r="J10" s="38">
        <f t="shared" si="7"/>
        <v>280.5</v>
      </c>
      <c r="K10" s="39"/>
      <c r="L10" s="39"/>
      <c r="M10" s="39"/>
      <c r="N10" s="40"/>
      <c r="O10" s="87"/>
      <c r="P10" s="39"/>
      <c r="Q10" s="39"/>
      <c r="R10" s="40"/>
      <c r="S10" t="s">
        <v>57</v>
      </c>
      <c r="T10" s="34">
        <v>0.4</v>
      </c>
    </row>
    <row r="11" spans="1:23" ht="16.5" x14ac:dyDescent="0.3">
      <c r="A11" s="36">
        <v>0</v>
      </c>
      <c r="B11" s="36">
        <v>0</v>
      </c>
      <c r="C11" s="36">
        <v>0</v>
      </c>
      <c r="D11" s="36">
        <v>0</v>
      </c>
      <c r="E11" s="37">
        <f t="shared" si="1"/>
        <v>0</v>
      </c>
      <c r="F11" s="37">
        <f t="shared" si="2"/>
        <v>0</v>
      </c>
      <c r="G11" s="37">
        <f t="shared" si="3"/>
        <v>0</v>
      </c>
      <c r="H11" s="37">
        <f t="shared" si="4"/>
        <v>0</v>
      </c>
      <c r="I11" s="38">
        <f t="shared" si="5"/>
        <v>0</v>
      </c>
      <c r="J11" s="38">
        <f t="shared" si="7"/>
        <v>280.5</v>
      </c>
      <c r="K11" s="39"/>
      <c r="L11" s="39"/>
      <c r="M11" s="39"/>
      <c r="N11" s="40"/>
      <c r="O11" s="87"/>
      <c r="P11" s="39"/>
      <c r="Q11" s="39"/>
      <c r="R11" s="40"/>
      <c r="T11" s="34"/>
    </row>
    <row r="12" spans="1:23" ht="16.5" x14ac:dyDescent="0.3">
      <c r="A12" s="36">
        <v>0</v>
      </c>
      <c r="B12" s="36">
        <v>0</v>
      </c>
      <c r="C12" s="36">
        <v>0</v>
      </c>
      <c r="D12" s="36">
        <v>0</v>
      </c>
      <c r="E12" s="37">
        <f t="shared" si="1"/>
        <v>0</v>
      </c>
      <c r="F12" s="37">
        <f t="shared" si="2"/>
        <v>0</v>
      </c>
      <c r="G12" s="37">
        <f t="shared" si="3"/>
        <v>0</v>
      </c>
      <c r="H12" s="37">
        <f t="shared" si="4"/>
        <v>0</v>
      </c>
      <c r="I12" s="44">
        <f t="shared" si="5"/>
        <v>0</v>
      </c>
      <c r="J12" s="38">
        <f>J11+I12</f>
        <v>280.5</v>
      </c>
      <c r="L12" s="39"/>
      <c r="M12" s="39"/>
      <c r="N12" s="40"/>
      <c r="O12" s="39"/>
      <c r="P12" s="39"/>
      <c r="Q12" s="39"/>
      <c r="R12" s="40"/>
      <c r="S12" t="s">
        <v>58</v>
      </c>
      <c r="T12" s="34">
        <v>0.3</v>
      </c>
    </row>
    <row r="13" spans="1:23" ht="16.5" x14ac:dyDescent="0.3">
      <c r="A13" s="36">
        <v>0</v>
      </c>
      <c r="B13" s="36">
        <v>0</v>
      </c>
      <c r="C13" s="36">
        <v>0</v>
      </c>
      <c r="D13" s="36">
        <v>0</v>
      </c>
      <c r="E13" s="37">
        <f t="shared" si="1"/>
        <v>0</v>
      </c>
      <c r="F13" s="37">
        <f t="shared" si="2"/>
        <v>0</v>
      </c>
      <c r="G13" s="37">
        <f t="shared" si="3"/>
        <v>0</v>
      </c>
      <c r="H13" s="37">
        <f t="shared" si="4"/>
        <v>0</v>
      </c>
      <c r="I13" s="38">
        <f t="shared" si="5"/>
        <v>0</v>
      </c>
      <c r="J13" s="38">
        <f t="shared" si="7"/>
        <v>280.5</v>
      </c>
      <c r="K13" s="39"/>
      <c r="L13" s="39"/>
      <c r="M13" s="39"/>
      <c r="N13" s="40"/>
      <c r="O13" s="39"/>
      <c r="P13" s="39"/>
      <c r="Q13" s="39"/>
      <c r="R13" s="40"/>
    </row>
    <row r="14" spans="1:23" ht="16.5" x14ac:dyDescent="0.3">
      <c r="A14" s="36">
        <v>0</v>
      </c>
      <c r="B14" s="36">
        <v>0</v>
      </c>
      <c r="C14" s="36">
        <v>0</v>
      </c>
      <c r="D14" s="36">
        <v>0</v>
      </c>
      <c r="E14" s="37">
        <f t="shared" si="1"/>
        <v>0</v>
      </c>
      <c r="F14" s="37">
        <f t="shared" si="2"/>
        <v>0</v>
      </c>
      <c r="G14" s="37">
        <f t="shared" si="3"/>
        <v>0</v>
      </c>
      <c r="H14" s="37">
        <f t="shared" si="4"/>
        <v>0</v>
      </c>
      <c r="I14" s="38">
        <f t="shared" si="5"/>
        <v>0</v>
      </c>
      <c r="J14" s="38">
        <f t="shared" si="7"/>
        <v>280.5</v>
      </c>
      <c r="K14" s="39"/>
      <c r="L14" s="39"/>
      <c r="M14" s="39"/>
      <c r="N14" s="87"/>
      <c r="O14" s="39"/>
      <c r="P14" s="39"/>
      <c r="Q14" s="39"/>
      <c r="R14" s="40"/>
    </row>
    <row r="15" spans="1:23" ht="16.5" x14ac:dyDescent="0.3">
      <c r="A15" s="36">
        <v>0</v>
      </c>
      <c r="B15" s="36">
        <v>0</v>
      </c>
      <c r="C15" s="36">
        <v>0</v>
      </c>
      <c r="D15" s="36">
        <v>0</v>
      </c>
      <c r="E15" s="46">
        <f t="shared" si="1"/>
        <v>0</v>
      </c>
      <c r="F15" s="46">
        <f t="shared" si="2"/>
        <v>0</v>
      </c>
      <c r="G15" s="46">
        <f t="shared" si="3"/>
        <v>0</v>
      </c>
      <c r="H15" s="46">
        <f t="shared" si="4"/>
        <v>0</v>
      </c>
      <c r="I15" s="44">
        <f t="shared" si="5"/>
        <v>0</v>
      </c>
      <c r="J15" s="38">
        <f t="shared" si="7"/>
        <v>280.5</v>
      </c>
      <c r="K15" s="39"/>
      <c r="L15" s="39"/>
      <c r="M15" s="39"/>
      <c r="N15" s="39"/>
      <c r="O15" s="39"/>
      <c r="P15" s="39"/>
      <c r="Q15" s="39"/>
      <c r="R15" s="40"/>
    </row>
    <row r="16" spans="1:23" ht="16.5" x14ac:dyDescent="0.3">
      <c r="A16" s="36">
        <v>0</v>
      </c>
      <c r="B16" s="36">
        <v>0</v>
      </c>
      <c r="C16" s="36">
        <v>0</v>
      </c>
      <c r="D16" s="36">
        <v>0</v>
      </c>
      <c r="E16" s="37">
        <f>B16/12</f>
        <v>0</v>
      </c>
      <c r="F16" s="37">
        <f>D16/12</f>
        <v>0</v>
      </c>
      <c r="G16" s="37">
        <f>A16+E16</f>
        <v>0</v>
      </c>
      <c r="H16" s="37">
        <f>C16+F16</f>
        <v>0</v>
      </c>
      <c r="I16" s="38">
        <f t="shared" si="5"/>
        <v>0</v>
      </c>
      <c r="J16" s="38">
        <f t="shared" si="7"/>
        <v>280.5</v>
      </c>
      <c r="K16" s="39"/>
      <c r="L16" s="39"/>
      <c r="M16" s="39"/>
      <c r="N16" s="39"/>
      <c r="O16" s="39"/>
      <c r="P16" s="39"/>
      <c r="Q16" s="39"/>
      <c r="R16" s="40"/>
    </row>
    <row r="17" spans="1:21" ht="16.5" x14ac:dyDescent="0.3">
      <c r="A17" s="36">
        <v>0</v>
      </c>
      <c r="B17" s="36">
        <v>0</v>
      </c>
      <c r="C17" s="36">
        <v>0</v>
      </c>
      <c r="D17" s="36">
        <v>0</v>
      </c>
      <c r="E17" s="37">
        <f>B17/12</f>
        <v>0</v>
      </c>
      <c r="F17" s="37">
        <f>D17/12</f>
        <v>0</v>
      </c>
      <c r="G17" s="37">
        <f>A17+E17</f>
        <v>0</v>
      </c>
      <c r="H17" s="37">
        <f>C17+F17</f>
        <v>0</v>
      </c>
      <c r="I17" s="38">
        <f t="shared" si="5"/>
        <v>0</v>
      </c>
      <c r="J17" s="38">
        <f t="shared" si="7"/>
        <v>280.5</v>
      </c>
      <c r="K17" s="71"/>
      <c r="L17" s="71"/>
      <c r="M17" s="71"/>
      <c r="N17" s="40"/>
      <c r="O17" s="71"/>
      <c r="P17" s="71"/>
      <c r="Q17" s="71"/>
      <c r="R17" s="70"/>
    </row>
    <row r="18" spans="1:21" ht="16.5" x14ac:dyDescent="0.3">
      <c r="A18" s="36">
        <v>0</v>
      </c>
      <c r="B18" s="36">
        <v>0</v>
      </c>
      <c r="C18" s="36">
        <v>0</v>
      </c>
      <c r="D18" s="36">
        <v>0</v>
      </c>
      <c r="E18" s="46">
        <f>B18/12</f>
        <v>0</v>
      </c>
      <c r="F18" s="46">
        <f>D18/12</f>
        <v>0</v>
      </c>
      <c r="G18" s="46">
        <f>A18+E18</f>
        <v>0</v>
      </c>
      <c r="H18" s="46">
        <f>C18+F18</f>
        <v>0</v>
      </c>
      <c r="I18" s="44">
        <f>G18*H18</f>
        <v>0</v>
      </c>
      <c r="J18" s="38">
        <f t="shared" si="7"/>
        <v>280.5</v>
      </c>
      <c r="K18" s="71"/>
      <c r="L18" s="71"/>
      <c r="M18" s="71"/>
      <c r="N18" s="39"/>
      <c r="O18" s="71"/>
      <c r="P18" s="71"/>
      <c r="Q18" s="71"/>
      <c r="R18" s="72"/>
    </row>
    <row r="19" spans="1:21" ht="16.5" x14ac:dyDescent="0.3">
      <c r="A19" s="36">
        <v>0</v>
      </c>
      <c r="B19" s="36">
        <v>0</v>
      </c>
      <c r="C19" s="36">
        <v>0</v>
      </c>
      <c r="D19" s="36">
        <v>0</v>
      </c>
      <c r="E19" s="46">
        <f t="shared" si="1"/>
        <v>0</v>
      </c>
      <c r="F19" s="46">
        <f t="shared" si="2"/>
        <v>0</v>
      </c>
      <c r="G19" s="46">
        <f t="shared" si="3"/>
        <v>0</v>
      </c>
      <c r="H19" s="46">
        <f t="shared" si="4"/>
        <v>0</v>
      </c>
      <c r="I19" s="44">
        <f t="shared" si="5"/>
        <v>0</v>
      </c>
      <c r="J19" s="38">
        <f t="shared" si="7"/>
        <v>280.5</v>
      </c>
      <c r="K19" s="71"/>
      <c r="L19" s="71"/>
      <c r="M19" s="71"/>
      <c r="N19" s="72"/>
      <c r="O19" s="73"/>
      <c r="P19" s="71"/>
      <c r="Q19" s="71"/>
      <c r="R19" s="70"/>
    </row>
    <row r="20" spans="1:21" ht="16.5" x14ac:dyDescent="0.3">
      <c r="A20" s="36">
        <v>0</v>
      </c>
      <c r="B20" s="36">
        <v>0</v>
      </c>
      <c r="C20" s="36">
        <v>0</v>
      </c>
      <c r="D20" s="36">
        <v>0</v>
      </c>
      <c r="E20" s="46">
        <f>B20/12</f>
        <v>0</v>
      </c>
      <c r="F20" s="46">
        <f>D20/12</f>
        <v>0</v>
      </c>
      <c r="G20" s="46">
        <f>A20+E20</f>
        <v>0</v>
      </c>
      <c r="H20" s="46">
        <f>C20+F20</f>
        <v>0</v>
      </c>
      <c r="I20" s="44">
        <f>G20*H20</f>
        <v>0</v>
      </c>
      <c r="J20" s="38">
        <f>J19+I20</f>
        <v>280.5</v>
      </c>
      <c r="K20" s="71"/>
      <c r="L20" s="71"/>
      <c r="M20" s="71"/>
      <c r="N20" s="39"/>
      <c r="O20" s="71"/>
      <c r="P20" s="74"/>
      <c r="Q20" s="74"/>
      <c r="R20" s="70"/>
    </row>
    <row r="21" spans="1:21" ht="16.5" x14ac:dyDescent="0.3">
      <c r="A21" s="36">
        <v>0</v>
      </c>
      <c r="B21" s="36">
        <v>0</v>
      </c>
      <c r="C21" s="36">
        <v>0</v>
      </c>
      <c r="D21" s="36">
        <v>0</v>
      </c>
      <c r="E21" s="46">
        <f t="shared" si="1"/>
        <v>0</v>
      </c>
      <c r="F21" s="46">
        <f t="shared" si="2"/>
        <v>0</v>
      </c>
      <c r="G21" s="46">
        <f t="shared" si="3"/>
        <v>0</v>
      </c>
      <c r="H21" s="46">
        <f t="shared" si="4"/>
        <v>0</v>
      </c>
      <c r="I21" s="44">
        <f t="shared" si="5"/>
        <v>0</v>
      </c>
      <c r="J21" s="38">
        <f t="shared" si="7"/>
        <v>280.5</v>
      </c>
      <c r="K21" s="71"/>
      <c r="L21" s="71"/>
      <c r="M21" s="71"/>
      <c r="O21" s="71"/>
      <c r="P21" s="71"/>
      <c r="Q21" s="71"/>
      <c r="R21" s="72"/>
      <c r="S21" s="7"/>
      <c r="U21" s="2"/>
    </row>
    <row r="22" spans="1:21" ht="16.5" x14ac:dyDescent="0.3">
      <c r="A22" s="36">
        <v>0</v>
      </c>
      <c r="B22" s="36">
        <v>0</v>
      </c>
      <c r="C22" s="36">
        <v>0</v>
      </c>
      <c r="D22" s="36">
        <v>0</v>
      </c>
      <c r="E22" s="46">
        <f t="shared" si="1"/>
        <v>0</v>
      </c>
      <c r="F22" s="46">
        <f t="shared" si="2"/>
        <v>0</v>
      </c>
      <c r="G22" s="46">
        <f t="shared" si="3"/>
        <v>0</v>
      </c>
      <c r="H22" s="46">
        <f t="shared" si="4"/>
        <v>0</v>
      </c>
      <c r="I22" s="44">
        <f t="shared" si="5"/>
        <v>0</v>
      </c>
      <c r="J22" s="38">
        <f t="shared" si="7"/>
        <v>280.5</v>
      </c>
      <c r="K22" s="71"/>
      <c r="L22" s="71"/>
      <c r="M22" s="71"/>
      <c r="N22" s="70"/>
      <c r="O22" s="71"/>
      <c r="P22" s="71"/>
      <c r="Q22" s="71"/>
      <c r="R22" s="70"/>
    </row>
    <row r="23" spans="1:21" ht="16.5" x14ac:dyDescent="0.3">
      <c r="A23" s="36">
        <v>0</v>
      </c>
      <c r="B23" s="36">
        <v>0</v>
      </c>
      <c r="C23" s="36">
        <v>0</v>
      </c>
      <c r="D23" s="36">
        <v>0</v>
      </c>
      <c r="E23" s="46">
        <f t="shared" si="1"/>
        <v>0</v>
      </c>
      <c r="F23" s="46">
        <f t="shared" si="1"/>
        <v>0</v>
      </c>
      <c r="G23" s="46">
        <f t="shared" si="1"/>
        <v>0</v>
      </c>
      <c r="H23" s="46">
        <f t="shared" si="1"/>
        <v>0</v>
      </c>
      <c r="I23" s="46">
        <f t="shared" si="1"/>
        <v>0</v>
      </c>
      <c r="J23" s="38">
        <f t="shared" si="7"/>
        <v>280.5</v>
      </c>
      <c r="K23" s="71"/>
      <c r="L23" s="71"/>
      <c r="M23" s="71"/>
      <c r="N23" s="75"/>
      <c r="O23" s="71"/>
      <c r="P23" s="71"/>
      <c r="Q23" s="71"/>
      <c r="R23" s="70"/>
    </row>
    <row r="24" spans="1:21" ht="16.5" x14ac:dyDescent="0.3">
      <c r="A24" s="36">
        <v>0</v>
      </c>
      <c r="B24" s="36">
        <v>0</v>
      </c>
      <c r="C24" s="36">
        <v>0</v>
      </c>
      <c r="D24" s="36">
        <v>0</v>
      </c>
      <c r="E24" s="46">
        <f t="shared" ref="E24:I30" si="8">B24/12</f>
        <v>0</v>
      </c>
      <c r="F24" s="46">
        <f t="shared" si="8"/>
        <v>0</v>
      </c>
      <c r="G24" s="46">
        <f t="shared" si="8"/>
        <v>0</v>
      </c>
      <c r="H24" s="46">
        <f t="shared" si="8"/>
        <v>0</v>
      </c>
      <c r="I24" s="46">
        <f t="shared" si="8"/>
        <v>0</v>
      </c>
      <c r="J24" s="38">
        <f t="shared" si="7"/>
        <v>280.5</v>
      </c>
      <c r="K24" s="71"/>
      <c r="L24" s="71"/>
      <c r="M24" s="76"/>
      <c r="N24" s="72"/>
      <c r="O24" s="73"/>
      <c r="P24" s="71"/>
      <c r="Q24" s="71"/>
      <c r="R24" s="73"/>
    </row>
    <row r="25" spans="1:21" ht="16.5" x14ac:dyDescent="0.3">
      <c r="A25" s="36">
        <v>0</v>
      </c>
      <c r="B25" s="36">
        <v>0</v>
      </c>
      <c r="C25" s="36">
        <v>0</v>
      </c>
      <c r="D25" s="36">
        <v>0</v>
      </c>
      <c r="E25" s="46">
        <f t="shared" si="8"/>
        <v>0</v>
      </c>
      <c r="F25" s="46">
        <f t="shared" si="8"/>
        <v>0</v>
      </c>
      <c r="G25" s="46">
        <f t="shared" si="8"/>
        <v>0</v>
      </c>
      <c r="H25" s="46">
        <f t="shared" si="8"/>
        <v>0</v>
      </c>
      <c r="I25" s="46">
        <f t="shared" si="8"/>
        <v>0</v>
      </c>
      <c r="J25" s="38">
        <f t="shared" si="7"/>
        <v>280.5</v>
      </c>
      <c r="K25" s="71"/>
      <c r="L25" s="71"/>
      <c r="M25" s="76"/>
      <c r="N25" s="77"/>
      <c r="O25" s="71"/>
      <c r="P25" s="71"/>
      <c r="Q25" s="71"/>
      <c r="R25" s="71"/>
    </row>
    <row r="26" spans="1:21" ht="16.5" x14ac:dyDescent="0.3">
      <c r="A26" s="36">
        <v>0</v>
      </c>
      <c r="B26" s="36">
        <v>0</v>
      </c>
      <c r="C26" s="36">
        <v>0</v>
      </c>
      <c r="D26" s="36">
        <v>0</v>
      </c>
      <c r="E26" s="46">
        <f t="shared" si="8"/>
        <v>0</v>
      </c>
      <c r="F26" s="46">
        <f t="shared" si="8"/>
        <v>0</v>
      </c>
      <c r="G26" s="46">
        <f t="shared" si="8"/>
        <v>0</v>
      </c>
      <c r="H26" s="46">
        <f t="shared" si="8"/>
        <v>0</v>
      </c>
      <c r="I26" s="46">
        <f t="shared" si="8"/>
        <v>0</v>
      </c>
      <c r="J26" s="38">
        <f t="shared" si="7"/>
        <v>280.5</v>
      </c>
      <c r="K26" s="71"/>
      <c r="L26" s="71"/>
      <c r="M26" s="76"/>
      <c r="N26" s="71"/>
      <c r="O26" s="71"/>
      <c r="P26" s="71"/>
      <c r="Q26" s="71"/>
      <c r="R26" s="71"/>
    </row>
    <row r="27" spans="1:21" ht="16.5" x14ac:dyDescent="0.3">
      <c r="A27" s="36">
        <v>0</v>
      </c>
      <c r="B27" s="36">
        <v>0</v>
      </c>
      <c r="C27" s="36">
        <v>0</v>
      </c>
      <c r="D27" s="36">
        <v>0</v>
      </c>
      <c r="E27" s="46">
        <f t="shared" si="8"/>
        <v>0</v>
      </c>
      <c r="F27" s="46">
        <f t="shared" si="8"/>
        <v>0</v>
      </c>
      <c r="G27" s="46">
        <f t="shared" si="8"/>
        <v>0</v>
      </c>
      <c r="H27" s="46">
        <f t="shared" si="8"/>
        <v>0</v>
      </c>
      <c r="I27" s="46">
        <f t="shared" si="8"/>
        <v>0</v>
      </c>
      <c r="J27" s="38">
        <f t="shared" si="7"/>
        <v>280.5</v>
      </c>
      <c r="K27" s="71"/>
      <c r="L27" s="71"/>
      <c r="M27" s="71"/>
      <c r="N27" s="78"/>
      <c r="O27" s="71"/>
      <c r="P27" s="71"/>
      <c r="Q27" s="71"/>
      <c r="R27" s="71"/>
    </row>
    <row r="28" spans="1:21" ht="16.5" x14ac:dyDescent="0.3">
      <c r="A28" s="36">
        <v>0</v>
      </c>
      <c r="B28" s="36">
        <v>0</v>
      </c>
      <c r="C28" s="36">
        <v>0</v>
      </c>
      <c r="D28" s="36">
        <v>0</v>
      </c>
      <c r="E28" s="46">
        <f t="shared" si="8"/>
        <v>0</v>
      </c>
      <c r="F28" s="46">
        <f t="shared" si="8"/>
        <v>0</v>
      </c>
      <c r="G28" s="46">
        <f t="shared" si="8"/>
        <v>0</v>
      </c>
      <c r="H28" s="46">
        <f t="shared" si="8"/>
        <v>0</v>
      </c>
      <c r="I28" s="46">
        <f t="shared" si="8"/>
        <v>0</v>
      </c>
      <c r="J28" s="38">
        <f t="shared" si="7"/>
        <v>280.5</v>
      </c>
      <c r="K28" s="71"/>
      <c r="L28" s="71"/>
      <c r="M28" s="71"/>
      <c r="N28" s="71"/>
      <c r="O28" s="71"/>
      <c r="P28" s="71"/>
      <c r="Q28" s="71"/>
      <c r="R28" s="73"/>
    </row>
    <row r="29" spans="1:21" ht="16.5" x14ac:dyDescent="0.3">
      <c r="A29" s="36">
        <v>0</v>
      </c>
      <c r="B29" s="36">
        <v>0</v>
      </c>
      <c r="C29" s="36">
        <v>0</v>
      </c>
      <c r="D29" s="36">
        <v>0</v>
      </c>
      <c r="E29" s="46">
        <f t="shared" si="8"/>
        <v>0</v>
      </c>
      <c r="F29" s="46">
        <f t="shared" si="2"/>
        <v>0</v>
      </c>
      <c r="G29" s="46">
        <f t="shared" si="3"/>
        <v>0</v>
      </c>
      <c r="H29" s="46">
        <f t="shared" si="4"/>
        <v>0</v>
      </c>
      <c r="I29" s="44">
        <f t="shared" ref="I29:I30" si="9">G29*H29</f>
        <v>0</v>
      </c>
      <c r="J29" s="38">
        <f t="shared" si="7"/>
        <v>280.5</v>
      </c>
      <c r="K29" s="71"/>
      <c r="L29" s="71"/>
      <c r="M29" s="71"/>
      <c r="N29" s="73"/>
      <c r="O29" s="71"/>
      <c r="P29" s="79"/>
      <c r="Q29" s="79"/>
      <c r="R29" s="71"/>
    </row>
    <row r="30" spans="1:21" ht="16.5" x14ac:dyDescent="0.3">
      <c r="A30" s="36">
        <v>0</v>
      </c>
      <c r="B30" s="36">
        <v>0</v>
      </c>
      <c r="C30" s="36">
        <v>0</v>
      </c>
      <c r="D30" s="36">
        <v>0</v>
      </c>
      <c r="E30" s="46">
        <f t="shared" si="8"/>
        <v>0</v>
      </c>
      <c r="F30" s="46">
        <f t="shared" si="2"/>
        <v>0</v>
      </c>
      <c r="G30" s="46">
        <f t="shared" si="3"/>
        <v>0</v>
      </c>
      <c r="H30" s="46">
        <f t="shared" si="4"/>
        <v>0</v>
      </c>
      <c r="I30" s="44">
        <f t="shared" si="9"/>
        <v>0</v>
      </c>
      <c r="J30" s="38">
        <f t="shared" si="7"/>
        <v>280.5</v>
      </c>
      <c r="K30" s="71"/>
      <c r="L30" s="71"/>
      <c r="M30" s="71"/>
      <c r="N30" s="71"/>
      <c r="O30" s="71"/>
      <c r="P30" s="80"/>
      <c r="Q30" s="80"/>
      <c r="R30" s="71"/>
    </row>
    <row r="31" spans="1:21" x14ac:dyDescent="0.25">
      <c r="N31">
        <f>N30*10.764</f>
        <v>0</v>
      </c>
    </row>
    <row r="33" spans="13:17" x14ac:dyDescent="0.25">
      <c r="M33" s="5"/>
      <c r="P33" s="48"/>
      <c r="Q33" s="48"/>
    </row>
    <row r="34" spans="13:17" x14ac:dyDescent="0.25">
      <c r="M34" s="5"/>
    </row>
    <row r="35" spans="13:17" x14ac:dyDescent="0.25">
      <c r="M35" s="5"/>
    </row>
  </sheetData>
  <mergeCells count="2">
    <mergeCell ref="K1:N1"/>
    <mergeCell ref="O1:R1"/>
  </mergeCell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C72C9C-005D-4299-97F9-FD1F19952B65}">
  <dimension ref="A1:K84"/>
  <sheetViews>
    <sheetView tabSelected="1" zoomScale="85" zoomScaleNormal="85" workbookViewId="0">
      <selection activeCell="N23" sqref="N23"/>
    </sheetView>
  </sheetViews>
  <sheetFormatPr defaultRowHeight="15" x14ac:dyDescent="0.25"/>
  <cols>
    <col min="1" max="1" width="21.7109375" bestFit="1" customWidth="1"/>
    <col min="2" max="2" width="13.42578125" bestFit="1" customWidth="1"/>
    <col min="3" max="3" width="17.140625" style="14" customWidth="1"/>
    <col min="4" max="4" width="15.5703125" style="14" bestFit="1" customWidth="1"/>
    <col min="5" max="5" width="14.28515625" bestFit="1" customWidth="1"/>
    <col min="6" max="6" width="11.5703125" bestFit="1" customWidth="1"/>
  </cols>
  <sheetData>
    <row r="1" spans="1:11" x14ac:dyDescent="0.25">
      <c r="A1" s="9"/>
      <c r="B1" s="10"/>
      <c r="C1" s="11"/>
      <c r="D1" s="12"/>
    </row>
    <row r="2" spans="1:11" x14ac:dyDescent="0.25">
      <c r="A2" s="13"/>
      <c r="C2" s="14" t="s">
        <v>79</v>
      </c>
      <c r="D2" s="15"/>
      <c r="H2" t="s">
        <v>82</v>
      </c>
    </row>
    <row r="3" spans="1:11" x14ac:dyDescent="0.25">
      <c r="A3" s="13" t="s">
        <v>13</v>
      </c>
      <c r="B3" s="17"/>
      <c r="C3" s="18">
        <v>23000</v>
      </c>
      <c r="D3" s="19" t="s">
        <v>90</v>
      </c>
      <c r="H3">
        <v>30250</v>
      </c>
      <c r="K3">
        <v>26620</v>
      </c>
    </row>
    <row r="4" spans="1:11" ht="30" x14ac:dyDescent="0.25">
      <c r="A4" s="20" t="s">
        <v>14</v>
      </c>
      <c r="B4" s="17"/>
      <c r="C4" s="18">
        <v>3000</v>
      </c>
      <c r="D4" s="21"/>
      <c r="H4">
        <f>H3/100*105</f>
        <v>31762.5</v>
      </c>
      <c r="K4">
        <f>K3/100*105</f>
        <v>27951</v>
      </c>
    </row>
    <row r="5" spans="1:11" ht="16.5" x14ac:dyDescent="0.3">
      <c r="A5" s="13" t="s">
        <v>15</v>
      </c>
      <c r="B5" s="17"/>
      <c r="C5" s="18">
        <f>C3-C4</f>
        <v>20000</v>
      </c>
      <c r="D5" s="21"/>
      <c r="H5" s="37">
        <f>H4/10.764</f>
        <v>2950.8082497212936</v>
      </c>
      <c r="K5" s="37">
        <f>K4/10.764</f>
        <v>2596.711259754738</v>
      </c>
    </row>
    <row r="6" spans="1:11" x14ac:dyDescent="0.25">
      <c r="A6" s="13" t="s">
        <v>16</v>
      </c>
      <c r="B6" s="17"/>
      <c r="C6" s="18">
        <f>C4</f>
        <v>3000</v>
      </c>
      <c r="D6" s="21"/>
    </row>
    <row r="7" spans="1:11" x14ac:dyDescent="0.25">
      <c r="A7" s="13" t="s">
        <v>17</v>
      </c>
      <c r="B7" s="22"/>
      <c r="C7" s="23">
        <f>D9</f>
        <v>26</v>
      </c>
      <c r="D7" s="23">
        <v>2023</v>
      </c>
      <c r="F7" t="s">
        <v>95</v>
      </c>
      <c r="I7" t="s">
        <v>97</v>
      </c>
    </row>
    <row r="8" spans="1:11" x14ac:dyDescent="0.25">
      <c r="A8" s="13" t="s">
        <v>18</v>
      </c>
      <c r="B8" s="22"/>
      <c r="C8" s="23">
        <f>C9-C7</f>
        <v>34</v>
      </c>
      <c r="D8" s="23">
        <v>1997</v>
      </c>
      <c r="G8" t="s">
        <v>96</v>
      </c>
    </row>
    <row r="9" spans="1:11" x14ac:dyDescent="0.25">
      <c r="A9" s="13" t="s">
        <v>19</v>
      </c>
      <c r="B9" s="22"/>
      <c r="C9" s="23">
        <v>60</v>
      </c>
      <c r="D9" s="23">
        <f>D7-D8</f>
        <v>26</v>
      </c>
    </row>
    <row r="10" spans="1:11" ht="30" x14ac:dyDescent="0.25">
      <c r="A10" s="20" t="s">
        <v>20</v>
      </c>
      <c r="B10" s="22"/>
      <c r="C10" s="23">
        <f>90*C7/C9</f>
        <v>39</v>
      </c>
      <c r="D10" s="23"/>
    </row>
    <row r="11" spans="1:11" x14ac:dyDescent="0.25">
      <c r="A11" s="13"/>
      <c r="B11" s="24"/>
      <c r="C11" s="25">
        <f>C10%</f>
        <v>0.39</v>
      </c>
      <c r="D11" s="25"/>
    </row>
    <row r="12" spans="1:11" x14ac:dyDescent="0.25">
      <c r="A12" s="13" t="s">
        <v>21</v>
      </c>
      <c r="B12" s="17"/>
      <c r="C12" s="18">
        <f>C6*C11</f>
        <v>1170</v>
      </c>
      <c r="D12" s="21"/>
    </row>
    <row r="13" spans="1:11" x14ac:dyDescent="0.25">
      <c r="A13" s="13" t="s">
        <v>22</v>
      </c>
      <c r="B13" s="17"/>
      <c r="C13" s="18">
        <f>C6-C12</f>
        <v>1830</v>
      </c>
      <c r="D13" s="21"/>
    </row>
    <row r="14" spans="1:11" x14ac:dyDescent="0.25">
      <c r="A14" s="13" t="s">
        <v>15</v>
      </c>
      <c r="B14" s="17"/>
      <c r="C14" s="18">
        <f>C5</f>
        <v>20000</v>
      </c>
      <c r="D14" s="21"/>
    </row>
    <row r="15" spans="1:11" x14ac:dyDescent="0.25">
      <c r="B15" s="17"/>
      <c r="C15" s="18"/>
      <c r="D15" s="21"/>
    </row>
    <row r="16" spans="1:11" x14ac:dyDescent="0.25">
      <c r="A16" s="26" t="s">
        <v>23</v>
      </c>
      <c r="B16" s="27"/>
      <c r="C16" s="19">
        <f>C14+C13</f>
        <v>21830</v>
      </c>
      <c r="D16" s="21"/>
      <c r="E16" s="59"/>
    </row>
    <row r="17" spans="1:6" x14ac:dyDescent="0.25">
      <c r="B17" s="22"/>
      <c r="C17" s="23"/>
      <c r="D17" s="21"/>
    </row>
    <row r="18" spans="1:6" ht="16.5" x14ac:dyDescent="0.3">
      <c r="A18" s="26" t="s">
        <v>78</v>
      </c>
      <c r="B18" s="6"/>
      <c r="C18" s="66">
        <v>547</v>
      </c>
      <c r="D18" s="21"/>
      <c r="E18" s="67"/>
    </row>
    <row r="19" spans="1:6" x14ac:dyDescent="0.25">
      <c r="A19" s="13"/>
      <c r="B19" s="5"/>
      <c r="C19" s="28">
        <f>C18*C16</f>
        <v>11941010</v>
      </c>
      <c r="D19" s="28">
        <f>D18*D16</f>
        <v>0</v>
      </c>
      <c r="E19" s="28">
        <f>E18*E16</f>
        <v>0</v>
      </c>
      <c r="F19" t="s">
        <v>74</v>
      </c>
    </row>
    <row r="20" spans="1:6" x14ac:dyDescent="0.25">
      <c r="A20" s="13"/>
      <c r="C20" s="29">
        <f>C19*90%</f>
        <v>10746909</v>
      </c>
      <c r="D20" s="29">
        <f>D19*90%</f>
        <v>0</v>
      </c>
      <c r="E20" s="29">
        <f>E19*90%</f>
        <v>0</v>
      </c>
      <c r="F20" t="s">
        <v>24</v>
      </c>
    </row>
    <row r="21" spans="1:6" x14ac:dyDescent="0.25">
      <c r="A21" s="13"/>
      <c r="C21" s="29">
        <f>C19*80%</f>
        <v>9552808</v>
      </c>
      <c r="D21" s="29">
        <f>D19*80%</f>
        <v>0</v>
      </c>
      <c r="E21" s="29">
        <f>E19*80%</f>
        <v>0</v>
      </c>
      <c r="F21" t="s">
        <v>25</v>
      </c>
    </row>
    <row r="22" spans="1:6" x14ac:dyDescent="0.25">
      <c r="A22" s="13"/>
    </row>
    <row r="23" spans="1:6" x14ac:dyDescent="0.25">
      <c r="A23" s="30" t="s">
        <v>26</v>
      </c>
      <c r="B23" s="31"/>
      <c r="C23" s="32">
        <f>C4*E27</f>
        <v>3576000</v>
      </c>
      <c r="D23" s="32">
        <f>D4*D18</f>
        <v>0</v>
      </c>
    </row>
    <row r="24" spans="1:6" x14ac:dyDescent="0.25">
      <c r="A24" s="13" t="s">
        <v>27</v>
      </c>
    </row>
    <row r="25" spans="1:6" x14ac:dyDescent="0.25">
      <c r="A25" s="33" t="s">
        <v>28</v>
      </c>
      <c r="B25" s="14"/>
      <c r="C25" s="29">
        <f>C19*0.025/12</f>
        <v>24877.104166666668</v>
      </c>
      <c r="D25" s="29"/>
    </row>
    <row r="26" spans="1:6" x14ac:dyDescent="0.25">
      <c r="C26" s="29"/>
      <c r="D26" s="29" t="s">
        <v>80</v>
      </c>
    </row>
    <row r="27" spans="1:6" x14ac:dyDescent="0.25">
      <c r="C27" s="29"/>
      <c r="D27" s="29" t="s">
        <v>81</v>
      </c>
      <c r="E27" s="102">
        <v>1192</v>
      </c>
    </row>
    <row r="28" spans="1:6" x14ac:dyDescent="0.25">
      <c r="C28"/>
      <c r="D28"/>
      <c r="E28" s="59">
        <f>E27*C4</f>
        <v>3576000</v>
      </c>
    </row>
    <row r="29" spans="1:6" x14ac:dyDescent="0.25">
      <c r="C29"/>
      <c r="D29"/>
    </row>
    <row r="30" spans="1:6" x14ac:dyDescent="0.25">
      <c r="C30"/>
      <c r="D30"/>
    </row>
    <row r="31" spans="1:6" ht="16.5" x14ac:dyDescent="0.3">
      <c r="C31"/>
      <c r="D31"/>
      <c r="E31" s="38"/>
    </row>
    <row r="32" spans="1:6" ht="16.5" x14ac:dyDescent="0.3">
      <c r="C32"/>
      <c r="D32"/>
      <c r="E32" s="38"/>
    </row>
    <row r="33" spans="1:4" x14ac:dyDescent="0.25">
      <c r="C33"/>
      <c r="D33"/>
    </row>
    <row r="34" spans="1:4" x14ac:dyDescent="0.25">
      <c r="C34"/>
      <c r="D34"/>
    </row>
    <row r="35" spans="1:4" x14ac:dyDescent="0.25">
      <c r="C35"/>
      <c r="D35"/>
    </row>
    <row r="36" spans="1:4" x14ac:dyDescent="0.25">
      <c r="C36"/>
      <c r="D36"/>
    </row>
    <row r="37" spans="1:4" x14ac:dyDescent="0.25">
      <c r="C37"/>
      <c r="D37"/>
    </row>
    <row r="38" spans="1:4" x14ac:dyDescent="0.25">
      <c r="C38"/>
      <c r="D38"/>
    </row>
    <row r="39" spans="1:4" x14ac:dyDescent="0.25">
      <c r="C39"/>
      <c r="D39"/>
    </row>
    <row r="40" spans="1:4" x14ac:dyDescent="0.25">
      <c r="C40"/>
      <c r="D40"/>
    </row>
    <row r="46" spans="1:4" x14ac:dyDescent="0.25">
      <c r="A46" s="34"/>
    </row>
    <row r="59" spans="1:1" ht="15.75" x14ac:dyDescent="0.25">
      <c r="A59" s="35"/>
    </row>
    <row r="60" spans="1:1" ht="15.75" x14ac:dyDescent="0.25">
      <c r="A60" s="35"/>
    </row>
    <row r="61" spans="1:1" ht="15.75" x14ac:dyDescent="0.25">
      <c r="A61" s="35"/>
    </row>
    <row r="62" spans="1:1" ht="15.75" x14ac:dyDescent="0.25">
      <c r="A62" s="35"/>
    </row>
    <row r="63" spans="1:1" ht="15.75" x14ac:dyDescent="0.25">
      <c r="A63" s="35"/>
    </row>
    <row r="64" spans="1:1" ht="15.75" x14ac:dyDescent="0.25">
      <c r="A64" s="35"/>
    </row>
    <row r="65" spans="1:1" ht="15.75" x14ac:dyDescent="0.25">
      <c r="A65" s="35"/>
    </row>
    <row r="84" spans="3:3" x14ac:dyDescent="0.25">
      <c r="C84" s="14">
        <f>C83*C82</f>
        <v>0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72"/>
  <sheetViews>
    <sheetView topLeftCell="A22" zoomScale="85" zoomScaleNormal="85" workbookViewId="0">
      <selection activeCell="S8" sqref="S8"/>
    </sheetView>
  </sheetViews>
  <sheetFormatPr defaultRowHeight="15" x14ac:dyDescent="0.25"/>
  <cols>
    <col min="1" max="1" width="4.28515625" customWidth="1"/>
    <col min="2" max="2" width="11.140625" bestFit="1" customWidth="1"/>
    <col min="3" max="3" width="12.5703125" customWidth="1"/>
    <col min="4" max="4" width="16.42578125" customWidth="1"/>
    <col min="5" max="5" width="18.7109375" customWidth="1"/>
    <col min="6" max="6" width="15.42578125" customWidth="1"/>
    <col min="7" max="7" width="27.140625" customWidth="1"/>
    <col min="8" max="8" width="15.7109375" customWidth="1"/>
    <col min="9" max="9" width="11.85546875" customWidth="1"/>
    <col min="10" max="10" width="14.140625" customWidth="1"/>
    <col min="11" max="13" width="0" hidden="1" customWidth="1"/>
    <col min="14" max="14" width="16.42578125" customWidth="1"/>
    <col min="15" max="15" width="15.5703125" customWidth="1"/>
    <col min="16" max="16" width="14.7109375" customWidth="1"/>
    <col min="17" max="17" width="17.42578125" customWidth="1"/>
    <col min="18" max="18" width="16.140625" customWidth="1"/>
    <col min="19" max="19" width="16" customWidth="1"/>
    <col min="20" max="20" width="14.42578125" customWidth="1"/>
    <col min="21" max="21" width="10" customWidth="1"/>
    <col min="27" max="27" width="10.42578125" bestFit="1" customWidth="1"/>
    <col min="31" max="31" width="10.42578125" bestFit="1" customWidth="1"/>
  </cols>
  <sheetData>
    <row r="1" spans="1:31" s="1" customFormat="1" ht="45" x14ac:dyDescent="0.25">
      <c r="A1" s="3" t="s">
        <v>0</v>
      </c>
      <c r="B1" s="3" t="s">
        <v>6</v>
      </c>
      <c r="C1" s="3" t="s">
        <v>9</v>
      </c>
      <c r="D1" s="3" t="s">
        <v>10</v>
      </c>
      <c r="E1" s="3" t="s">
        <v>1</v>
      </c>
      <c r="F1" s="108" t="s">
        <v>8</v>
      </c>
      <c r="G1" s="3" t="s">
        <v>11</v>
      </c>
      <c r="H1" s="3" t="s">
        <v>12</v>
      </c>
      <c r="I1" s="3" t="s">
        <v>2</v>
      </c>
      <c r="J1" s="3" t="s">
        <v>3</v>
      </c>
      <c r="N1" s="1" t="s">
        <v>7</v>
      </c>
      <c r="O1" s="1" t="s">
        <v>4</v>
      </c>
      <c r="P1" s="1" t="s">
        <v>5</v>
      </c>
      <c r="Q1" s="1" t="s">
        <v>6</v>
      </c>
      <c r="R1" s="1" t="s">
        <v>1</v>
      </c>
    </row>
    <row r="2" spans="1:31" x14ac:dyDescent="0.25">
      <c r="A2" s="4">
        <f t="shared" ref="A2:A15" si="0">N2</f>
        <v>0</v>
      </c>
      <c r="B2" s="4">
        <f t="shared" ref="B2:B15" si="1">Q2</f>
        <v>323</v>
      </c>
      <c r="C2" s="4">
        <f t="shared" ref="C2:C15" si="2">B2*1.2</f>
        <v>387.59999999999997</v>
      </c>
      <c r="D2" s="4">
        <f t="shared" ref="D2:D15" si="3">C2*1.2</f>
        <v>465.11999999999995</v>
      </c>
      <c r="E2" s="109">
        <f t="shared" ref="E2:E15" si="4">R2</f>
        <v>13500000</v>
      </c>
      <c r="F2" s="110">
        <f t="shared" ref="F2:F15" si="5">ROUND((E2/B2),0)</f>
        <v>41796</v>
      </c>
      <c r="G2" s="110">
        <f t="shared" ref="G2:G15" si="6">ROUND((E2/C2),0)</f>
        <v>34830</v>
      </c>
      <c r="H2" s="110">
        <f t="shared" ref="H2" si="7">ROUND((E2/D2),0)</f>
        <v>29025</v>
      </c>
      <c r="I2" s="110" t="e">
        <f>#REF!</f>
        <v>#REF!</v>
      </c>
      <c r="J2" s="110" t="e">
        <f>#REF!</f>
        <v>#REF!</v>
      </c>
      <c r="K2" s="111"/>
      <c r="L2" s="111"/>
      <c r="M2" s="111"/>
      <c r="N2" s="111"/>
      <c r="O2" s="111">
        <v>0</v>
      </c>
      <c r="P2" s="111">
        <f t="shared" ref="P2:P19" si="8">O2/1.2</f>
        <v>0</v>
      </c>
      <c r="Q2" s="111">
        <v>323</v>
      </c>
      <c r="R2" s="112">
        <v>13500000</v>
      </c>
      <c r="S2" s="8" t="s">
        <v>106</v>
      </c>
      <c r="T2" s="8" t="s">
        <v>105</v>
      </c>
      <c r="U2" s="8"/>
      <c r="V2" s="8"/>
      <c r="W2" s="8"/>
      <c r="AE2" s="63"/>
    </row>
    <row r="3" spans="1:31" x14ac:dyDescent="0.25">
      <c r="A3" s="110">
        <f t="shared" si="0"/>
        <v>0</v>
      </c>
      <c r="B3" s="110">
        <f t="shared" si="1"/>
        <v>758.33333333333337</v>
      </c>
      <c r="C3" s="110">
        <f t="shared" si="2"/>
        <v>910</v>
      </c>
      <c r="D3" s="110">
        <f t="shared" si="3"/>
        <v>1092</v>
      </c>
      <c r="E3" s="109">
        <f t="shared" si="4"/>
        <v>15100000</v>
      </c>
      <c r="F3" s="117">
        <f t="shared" si="5"/>
        <v>19912</v>
      </c>
      <c r="G3" s="117">
        <f t="shared" si="6"/>
        <v>16593</v>
      </c>
      <c r="H3" s="117">
        <f t="shared" ref="H3" si="9">ROUND((E3/D3),0)</f>
        <v>13828</v>
      </c>
      <c r="I3" s="117">
        <f>U2</f>
        <v>0</v>
      </c>
      <c r="J3" s="117" t="e">
        <f>#REF!</f>
        <v>#REF!</v>
      </c>
      <c r="K3" s="6"/>
      <c r="L3" s="6"/>
      <c r="M3" s="6"/>
      <c r="N3" s="6"/>
      <c r="O3" s="6">
        <v>0</v>
      </c>
      <c r="P3" s="6">
        <v>910</v>
      </c>
      <c r="Q3" s="6">
        <f t="shared" ref="Q3:Q18" si="10">P3/1.2</f>
        <v>758.33333333333337</v>
      </c>
      <c r="R3" s="118">
        <v>15100000</v>
      </c>
      <c r="S3" s="8"/>
      <c r="T3" s="69" t="s">
        <v>107</v>
      </c>
      <c r="U3" s="69"/>
      <c r="V3" s="8"/>
      <c r="W3" s="8"/>
    </row>
    <row r="4" spans="1:31" x14ac:dyDescent="0.25">
      <c r="A4" s="110">
        <f t="shared" si="0"/>
        <v>0</v>
      </c>
      <c r="B4" s="110">
        <f t="shared" si="1"/>
        <v>235</v>
      </c>
      <c r="C4" s="110">
        <f t="shared" si="2"/>
        <v>282</v>
      </c>
      <c r="D4" s="110">
        <f t="shared" si="3"/>
        <v>338.4</v>
      </c>
      <c r="E4" s="109">
        <f t="shared" si="4"/>
        <v>4500000</v>
      </c>
      <c r="F4" s="117">
        <f t="shared" si="5"/>
        <v>19149</v>
      </c>
      <c r="G4" s="117">
        <f t="shared" si="6"/>
        <v>15957</v>
      </c>
      <c r="H4" s="117">
        <f t="shared" ref="H4" si="11">ROUND((E4/D4),0)</f>
        <v>13298</v>
      </c>
      <c r="I4" s="117" t="e">
        <f>#REF!</f>
        <v>#REF!</v>
      </c>
      <c r="J4" s="117" t="e">
        <f>#REF!</f>
        <v>#REF!</v>
      </c>
      <c r="K4" s="6"/>
      <c r="L4" s="6"/>
      <c r="M4" s="6"/>
      <c r="N4" s="6"/>
      <c r="O4" s="6">
        <v>0</v>
      </c>
      <c r="P4" s="6">
        <f t="shared" si="8"/>
        <v>0</v>
      </c>
      <c r="Q4" s="6">
        <v>235</v>
      </c>
      <c r="R4" s="118">
        <v>4500000</v>
      </c>
      <c r="S4" s="8" t="s">
        <v>108</v>
      </c>
      <c r="T4" s="69" t="s">
        <v>109</v>
      </c>
      <c r="U4" s="8"/>
      <c r="V4" s="8"/>
      <c r="W4" s="8"/>
    </row>
    <row r="5" spans="1:31" x14ac:dyDescent="0.25">
      <c r="A5" s="110">
        <f t="shared" si="0"/>
        <v>0</v>
      </c>
      <c r="B5" s="110">
        <f t="shared" si="1"/>
        <v>1000</v>
      </c>
      <c r="C5" s="110">
        <f t="shared" si="2"/>
        <v>1200</v>
      </c>
      <c r="D5" s="110">
        <f t="shared" si="3"/>
        <v>1440</v>
      </c>
      <c r="E5" s="109">
        <f t="shared" si="4"/>
        <v>12000000</v>
      </c>
      <c r="F5" s="110">
        <f t="shared" si="5"/>
        <v>12000</v>
      </c>
      <c r="G5" s="110">
        <f t="shared" si="6"/>
        <v>10000</v>
      </c>
      <c r="H5" s="110">
        <f t="shared" ref="H5" si="12">ROUND((E5/D5),0)</f>
        <v>8333</v>
      </c>
      <c r="I5" s="110">
        <f>U5</f>
        <v>0</v>
      </c>
      <c r="J5" s="110" t="e">
        <f>#REF!</f>
        <v>#REF!</v>
      </c>
      <c r="K5" s="111"/>
      <c r="L5" s="111"/>
      <c r="M5" s="111"/>
      <c r="N5" s="111"/>
      <c r="O5" s="111">
        <v>0</v>
      </c>
      <c r="P5" s="111">
        <v>1200</v>
      </c>
      <c r="Q5" s="111">
        <f t="shared" si="10"/>
        <v>1000</v>
      </c>
      <c r="R5" s="112">
        <v>12000000</v>
      </c>
      <c r="S5" s="8"/>
      <c r="T5" s="69" t="s">
        <v>110</v>
      </c>
      <c r="U5" s="8"/>
      <c r="V5" s="8"/>
      <c r="W5" s="8"/>
    </row>
    <row r="6" spans="1:31" x14ac:dyDescent="0.25">
      <c r="A6" s="110">
        <f t="shared" si="0"/>
        <v>0</v>
      </c>
      <c r="B6" s="110">
        <f t="shared" si="1"/>
        <v>375</v>
      </c>
      <c r="C6" s="110">
        <f t="shared" si="2"/>
        <v>450</v>
      </c>
      <c r="D6" s="110">
        <f t="shared" si="3"/>
        <v>540</v>
      </c>
      <c r="E6" s="109">
        <f t="shared" si="4"/>
        <v>9500000</v>
      </c>
      <c r="F6" s="110">
        <f t="shared" si="5"/>
        <v>25333</v>
      </c>
      <c r="G6" s="110">
        <f t="shared" si="6"/>
        <v>21111</v>
      </c>
      <c r="H6" s="110">
        <f t="shared" ref="H6" si="13">ROUND((E6/D6),0)</f>
        <v>17593</v>
      </c>
      <c r="I6" s="110">
        <f>U6</f>
        <v>0</v>
      </c>
      <c r="J6" s="110" t="e">
        <f>#REF!</f>
        <v>#REF!</v>
      </c>
      <c r="K6" s="111"/>
      <c r="L6" s="111"/>
      <c r="M6" s="111"/>
      <c r="N6" s="111"/>
      <c r="O6" s="111">
        <v>0</v>
      </c>
      <c r="P6" s="111">
        <v>450</v>
      </c>
      <c r="Q6" s="111">
        <f t="shared" si="10"/>
        <v>375</v>
      </c>
      <c r="R6" s="112">
        <v>9500000</v>
      </c>
      <c r="S6" s="8"/>
      <c r="T6" s="69" t="s">
        <v>111</v>
      </c>
      <c r="U6" s="8"/>
      <c r="V6" s="8"/>
      <c r="W6" s="8"/>
    </row>
    <row r="7" spans="1:31" x14ac:dyDescent="0.25">
      <c r="A7" s="110">
        <f t="shared" si="0"/>
        <v>0</v>
      </c>
      <c r="B7" s="110">
        <f t="shared" si="1"/>
        <v>390</v>
      </c>
      <c r="C7" s="110">
        <f t="shared" si="2"/>
        <v>468</v>
      </c>
      <c r="D7" s="110">
        <f t="shared" si="3"/>
        <v>561.6</v>
      </c>
      <c r="E7" s="109">
        <f t="shared" si="4"/>
        <v>12500000</v>
      </c>
      <c r="F7" s="110">
        <f t="shared" si="5"/>
        <v>32051</v>
      </c>
      <c r="G7" s="110">
        <f t="shared" si="6"/>
        <v>26709</v>
      </c>
      <c r="H7" s="110">
        <f t="shared" ref="H7" si="14">ROUND((E7/D7),0)</f>
        <v>22258</v>
      </c>
      <c r="I7" s="110" t="str">
        <f t="shared" ref="I7" si="15">T7</f>
        <v>Factory for Sale
in Chincholi Bunder, Mumbai Andheri-Dahisar, Mumbai</v>
      </c>
      <c r="J7" s="110">
        <f t="shared" ref="J7" si="16">U7</f>
        <v>0</v>
      </c>
      <c r="K7" s="111"/>
      <c r="L7" s="111"/>
      <c r="M7" s="111"/>
      <c r="N7" s="111"/>
      <c r="O7" s="111">
        <v>0</v>
      </c>
      <c r="P7" s="111">
        <f t="shared" si="8"/>
        <v>0</v>
      </c>
      <c r="Q7" s="111">
        <v>390</v>
      </c>
      <c r="R7" s="112">
        <v>12500000</v>
      </c>
      <c r="S7" s="8"/>
      <c r="T7" s="69" t="s">
        <v>112</v>
      </c>
      <c r="U7" s="8"/>
      <c r="V7" s="8"/>
      <c r="W7" s="8"/>
    </row>
    <row r="8" spans="1:31" x14ac:dyDescent="0.25">
      <c r="A8" s="110">
        <f t="shared" si="0"/>
        <v>0</v>
      </c>
      <c r="B8" s="110">
        <f t="shared" si="1"/>
        <v>323.33333333333337</v>
      </c>
      <c r="C8" s="110">
        <f t="shared" si="2"/>
        <v>388.00000000000006</v>
      </c>
      <c r="D8" s="110">
        <f t="shared" si="3"/>
        <v>465.6</v>
      </c>
      <c r="E8" s="109">
        <f t="shared" si="4"/>
        <v>6900000</v>
      </c>
      <c r="F8" s="117">
        <f t="shared" si="5"/>
        <v>21340</v>
      </c>
      <c r="G8" s="117">
        <f t="shared" si="6"/>
        <v>17784</v>
      </c>
      <c r="H8" s="117">
        <f t="shared" ref="H8:H15" si="17">ROUND((E8/D8),0)</f>
        <v>14820</v>
      </c>
      <c r="I8" s="117" t="str">
        <f t="shared" ref="I8:I15" si="18">T8</f>
        <v>Parmeshwar Industrial Premies</v>
      </c>
      <c r="J8" s="117">
        <f t="shared" ref="J8:J15" si="19">U8</f>
        <v>0</v>
      </c>
      <c r="K8" s="6"/>
      <c r="L8" s="6"/>
      <c r="M8" s="6"/>
      <c r="N8" s="6"/>
      <c r="O8" s="6">
        <v>0</v>
      </c>
      <c r="P8" s="6">
        <v>388</v>
      </c>
      <c r="Q8" s="6">
        <f t="shared" si="10"/>
        <v>323.33333333333337</v>
      </c>
      <c r="R8" s="118">
        <v>6900000</v>
      </c>
      <c r="S8" s="119" t="s">
        <v>113</v>
      </c>
      <c r="T8" s="119" t="s">
        <v>114</v>
      </c>
      <c r="U8" s="119"/>
      <c r="V8" s="119"/>
      <c r="W8" s="119" t="s">
        <v>117</v>
      </c>
    </row>
    <row r="9" spans="1:31" x14ac:dyDescent="0.25">
      <c r="A9" s="110">
        <f t="shared" si="0"/>
        <v>0</v>
      </c>
      <c r="B9" s="110">
        <f t="shared" si="1"/>
        <v>269.16666666666669</v>
      </c>
      <c r="C9" s="110">
        <f t="shared" si="2"/>
        <v>323</v>
      </c>
      <c r="D9" s="110">
        <f t="shared" si="3"/>
        <v>387.59999999999997</v>
      </c>
      <c r="E9" s="109">
        <f t="shared" si="4"/>
        <v>6100000</v>
      </c>
      <c r="F9" s="117">
        <f t="shared" si="5"/>
        <v>22663</v>
      </c>
      <c r="G9" s="117">
        <f t="shared" si="6"/>
        <v>18885</v>
      </c>
      <c r="H9" s="117">
        <f t="shared" si="17"/>
        <v>15738</v>
      </c>
      <c r="I9" s="117" t="str">
        <f t="shared" si="18"/>
        <v>Nox Plaza</v>
      </c>
      <c r="J9" s="117">
        <f t="shared" si="19"/>
        <v>0</v>
      </c>
      <c r="K9" s="6"/>
      <c r="L9" s="6"/>
      <c r="M9" s="6"/>
      <c r="N9" s="6"/>
      <c r="O9" s="6">
        <v>0</v>
      </c>
      <c r="P9" s="6">
        <v>323</v>
      </c>
      <c r="Q9" s="6">
        <f t="shared" si="10"/>
        <v>269.16666666666669</v>
      </c>
      <c r="R9" s="118">
        <v>6100000</v>
      </c>
      <c r="S9" s="119" t="s">
        <v>113</v>
      </c>
      <c r="T9" s="127" t="s">
        <v>115</v>
      </c>
      <c r="U9" s="8"/>
      <c r="V9" s="8"/>
      <c r="W9" s="8"/>
    </row>
    <row r="10" spans="1:31" x14ac:dyDescent="0.25">
      <c r="A10" s="110">
        <f t="shared" si="0"/>
        <v>0</v>
      </c>
      <c r="B10" s="110">
        <f t="shared" si="1"/>
        <v>124</v>
      </c>
      <c r="C10" s="110">
        <f t="shared" si="2"/>
        <v>148.79999999999998</v>
      </c>
      <c r="D10" s="110">
        <f t="shared" si="3"/>
        <v>178.55999999999997</v>
      </c>
      <c r="E10" s="109">
        <f t="shared" si="4"/>
        <v>4200000</v>
      </c>
      <c r="F10" s="110">
        <f t="shared" si="5"/>
        <v>33871</v>
      </c>
      <c r="G10" s="110">
        <f t="shared" si="6"/>
        <v>28226</v>
      </c>
      <c r="H10" s="110">
        <f t="shared" si="17"/>
        <v>23522</v>
      </c>
      <c r="I10" s="110" t="str">
        <f t="shared" si="18"/>
        <v>Off Rose Plaza</v>
      </c>
      <c r="J10" s="110">
        <f t="shared" si="19"/>
        <v>0</v>
      </c>
      <c r="K10" s="111"/>
      <c r="L10" s="111"/>
      <c r="M10" s="111"/>
      <c r="N10" s="111"/>
      <c r="O10" s="111">
        <v>0</v>
      </c>
      <c r="P10" s="111">
        <f t="shared" si="8"/>
        <v>0</v>
      </c>
      <c r="Q10" s="111">
        <v>124</v>
      </c>
      <c r="R10" s="112">
        <v>4200000</v>
      </c>
      <c r="S10" s="8" t="s">
        <v>113</v>
      </c>
      <c r="T10" s="8" t="s">
        <v>116</v>
      </c>
      <c r="U10" s="8"/>
      <c r="V10" s="8"/>
      <c r="W10" s="8"/>
    </row>
    <row r="11" spans="1:31" ht="16.5" x14ac:dyDescent="0.3">
      <c r="A11" s="110">
        <f t="shared" si="0"/>
        <v>0</v>
      </c>
      <c r="B11" s="110">
        <f t="shared" si="1"/>
        <v>458.33333333333337</v>
      </c>
      <c r="C11" s="110">
        <f t="shared" si="2"/>
        <v>550</v>
      </c>
      <c r="D11" s="110">
        <f t="shared" si="3"/>
        <v>660</v>
      </c>
      <c r="E11" s="109">
        <f t="shared" si="4"/>
        <v>10000000</v>
      </c>
      <c r="F11" s="110">
        <f t="shared" si="5"/>
        <v>21818</v>
      </c>
      <c r="G11" s="110">
        <f t="shared" si="6"/>
        <v>18182</v>
      </c>
      <c r="H11" s="110">
        <f t="shared" si="17"/>
        <v>15152</v>
      </c>
      <c r="I11" s="110">
        <f t="shared" si="18"/>
        <v>0</v>
      </c>
      <c r="J11" s="110">
        <f t="shared" si="19"/>
        <v>0</v>
      </c>
      <c r="K11" s="111"/>
      <c r="L11" s="111"/>
      <c r="M11" s="111"/>
      <c r="N11" s="111"/>
      <c r="O11" s="111">
        <v>0</v>
      </c>
      <c r="P11" s="111">
        <v>550</v>
      </c>
      <c r="Q11" s="111">
        <f t="shared" si="10"/>
        <v>458.33333333333337</v>
      </c>
      <c r="R11" s="112">
        <v>10000000</v>
      </c>
      <c r="S11" s="8" t="s">
        <v>132</v>
      </c>
      <c r="T11" s="8"/>
      <c r="U11" s="8"/>
      <c r="V11" s="8"/>
      <c r="W11" s="8"/>
      <c r="X11" s="37"/>
      <c r="Y11" s="37"/>
      <c r="Z11" s="37"/>
      <c r="AA11" s="37"/>
      <c r="AB11" s="37"/>
      <c r="AC11" s="37"/>
    </row>
    <row r="12" spans="1:31" x14ac:dyDescent="0.25">
      <c r="A12" s="110">
        <f t="shared" si="0"/>
        <v>0</v>
      </c>
      <c r="B12" s="110">
        <f t="shared" si="1"/>
        <v>220</v>
      </c>
      <c r="C12" s="110">
        <f t="shared" si="2"/>
        <v>264</v>
      </c>
      <c r="D12" s="110">
        <f t="shared" si="3"/>
        <v>316.8</v>
      </c>
      <c r="E12" s="109">
        <f t="shared" si="4"/>
        <v>13000000</v>
      </c>
      <c r="F12" s="110">
        <f t="shared" si="5"/>
        <v>59091</v>
      </c>
      <c r="G12" s="110">
        <f t="shared" si="6"/>
        <v>49242</v>
      </c>
      <c r="H12" s="110">
        <f t="shared" si="17"/>
        <v>41035</v>
      </c>
      <c r="I12" s="110" t="str">
        <f t="shared" si="18"/>
        <v>450M</v>
      </c>
      <c r="J12" s="110" t="str">
        <f t="shared" si="19"/>
        <v>Malad, Chincholi Bunder,, Dheeraj platinum</v>
      </c>
      <c r="K12" s="111"/>
      <c r="L12" s="111"/>
      <c r="M12" s="111"/>
      <c r="N12" s="111"/>
      <c r="O12" s="111">
        <v>0</v>
      </c>
      <c r="P12" s="111">
        <f t="shared" si="8"/>
        <v>0</v>
      </c>
      <c r="Q12" s="111">
        <v>220</v>
      </c>
      <c r="R12" s="112">
        <v>13000000</v>
      </c>
      <c r="S12" s="8" t="s">
        <v>132</v>
      </c>
      <c r="T12" s="8" t="s">
        <v>108</v>
      </c>
      <c r="U12" s="8" t="s">
        <v>133</v>
      </c>
      <c r="V12" s="8"/>
      <c r="W12" s="8"/>
    </row>
    <row r="13" spans="1:31" x14ac:dyDescent="0.25">
      <c r="A13" s="110">
        <f t="shared" si="0"/>
        <v>0</v>
      </c>
      <c r="B13" s="110">
        <f t="shared" si="1"/>
        <v>250</v>
      </c>
      <c r="C13" s="110">
        <f t="shared" si="2"/>
        <v>300</v>
      </c>
      <c r="D13" s="110">
        <f t="shared" si="3"/>
        <v>360</v>
      </c>
      <c r="E13" s="109">
        <f t="shared" si="4"/>
        <v>6000000</v>
      </c>
      <c r="F13" s="110">
        <f t="shared" si="5"/>
        <v>24000</v>
      </c>
      <c r="G13" s="110">
        <f t="shared" si="6"/>
        <v>20000</v>
      </c>
      <c r="H13" s="110">
        <f t="shared" si="17"/>
        <v>16667</v>
      </c>
      <c r="I13" s="110" t="str">
        <f t="shared" si="18"/>
        <v>300M</v>
      </c>
      <c r="J13" s="110" t="str">
        <f t="shared" si="19"/>
        <v>Chincholi Bunder Road, Dheeraj Diamond</v>
      </c>
      <c r="K13" s="111"/>
      <c r="L13" s="111"/>
      <c r="M13" s="111"/>
      <c r="N13" s="111"/>
      <c r="O13" s="111">
        <v>0</v>
      </c>
      <c r="P13" s="111">
        <f t="shared" si="8"/>
        <v>0</v>
      </c>
      <c r="Q13" s="111">
        <v>250</v>
      </c>
      <c r="R13" s="112">
        <v>6000000</v>
      </c>
      <c r="S13" s="8" t="s">
        <v>132</v>
      </c>
      <c r="T13" s="8" t="s">
        <v>134</v>
      </c>
      <c r="U13" s="8" t="s">
        <v>135</v>
      </c>
      <c r="V13" s="8"/>
      <c r="W13" s="8"/>
    </row>
    <row r="14" spans="1:31" x14ac:dyDescent="0.25">
      <c r="A14" s="110">
        <f t="shared" si="0"/>
        <v>0</v>
      </c>
      <c r="B14" s="110">
        <f t="shared" si="1"/>
        <v>100</v>
      </c>
      <c r="C14" s="110">
        <f t="shared" si="2"/>
        <v>120</v>
      </c>
      <c r="D14" s="110">
        <f t="shared" si="3"/>
        <v>144</v>
      </c>
      <c r="E14" s="109">
        <f t="shared" si="4"/>
        <v>2200000</v>
      </c>
      <c r="F14" s="117">
        <f t="shared" si="5"/>
        <v>22000</v>
      </c>
      <c r="G14" s="117">
        <f t="shared" si="6"/>
        <v>18333</v>
      </c>
      <c r="H14" s="117">
        <f t="shared" si="17"/>
        <v>15278</v>
      </c>
      <c r="I14" s="117" t="str">
        <f t="shared" si="18"/>
        <v>350M</v>
      </c>
      <c r="J14" s="117" t="str">
        <f t="shared" si="19"/>
        <v>New Link Rd, below saraswati hospital</v>
      </c>
      <c r="K14" s="6"/>
      <c r="L14" s="6"/>
      <c r="M14" s="6"/>
      <c r="N14" s="6"/>
      <c r="O14" s="6">
        <v>0</v>
      </c>
      <c r="P14" s="6">
        <f t="shared" si="8"/>
        <v>0</v>
      </c>
      <c r="Q14" s="6">
        <v>100</v>
      </c>
      <c r="R14" s="118">
        <v>2200000</v>
      </c>
      <c r="S14" s="119" t="s">
        <v>132</v>
      </c>
      <c r="T14" s="119" t="s">
        <v>136</v>
      </c>
      <c r="U14" s="8" t="s">
        <v>137</v>
      </c>
      <c r="V14" s="8"/>
      <c r="W14" s="8"/>
    </row>
    <row r="15" spans="1:31" x14ac:dyDescent="0.25">
      <c r="A15" s="4">
        <f t="shared" si="0"/>
        <v>0</v>
      </c>
      <c r="B15" s="4">
        <f t="shared" si="1"/>
        <v>325</v>
      </c>
      <c r="C15" s="4">
        <f t="shared" si="2"/>
        <v>390</v>
      </c>
      <c r="D15" s="4">
        <f t="shared" si="3"/>
        <v>468</v>
      </c>
      <c r="E15" s="113">
        <f t="shared" si="4"/>
        <v>12000000</v>
      </c>
      <c r="F15" s="110">
        <f t="shared" si="5"/>
        <v>36923</v>
      </c>
      <c r="G15" s="110">
        <f t="shared" si="6"/>
        <v>30769</v>
      </c>
      <c r="H15" s="110">
        <f t="shared" si="17"/>
        <v>25641</v>
      </c>
      <c r="I15" s="110" t="str">
        <f t="shared" si="18"/>
        <v>300M</v>
      </c>
      <c r="J15" s="110" t="str">
        <f t="shared" si="19"/>
        <v>Vijay Industrial Estate</v>
      </c>
      <c r="K15" s="111"/>
      <c r="L15" s="111"/>
      <c r="M15" s="111"/>
      <c r="N15" s="111"/>
      <c r="O15" s="111">
        <v>0</v>
      </c>
      <c r="P15" s="111">
        <v>390</v>
      </c>
      <c r="Q15" s="111">
        <f t="shared" si="10"/>
        <v>325</v>
      </c>
      <c r="R15" s="112">
        <v>12000000</v>
      </c>
      <c r="S15" s="119" t="s">
        <v>132</v>
      </c>
      <c r="T15" s="8" t="s">
        <v>134</v>
      </c>
      <c r="U15" s="8" t="s">
        <v>138</v>
      </c>
      <c r="V15" s="8"/>
      <c r="W15" s="8"/>
    </row>
    <row r="16" spans="1:31" x14ac:dyDescent="0.25">
      <c r="A16" s="4">
        <f t="shared" ref="A16:A19" si="20">N16</f>
        <v>0</v>
      </c>
      <c r="B16" s="4">
        <f t="shared" ref="B16:B19" si="21">Q16</f>
        <v>447.91666666666669</v>
      </c>
      <c r="C16" s="4">
        <f t="shared" ref="C16:C19" si="22">B16*1.2</f>
        <v>537.5</v>
      </c>
      <c r="D16" s="4">
        <f t="shared" ref="D16:D19" si="23">C16*1.2</f>
        <v>645</v>
      </c>
      <c r="E16" s="113">
        <f t="shared" ref="E16:E19" si="24">R16</f>
        <v>15500000</v>
      </c>
      <c r="F16" s="110">
        <f t="shared" ref="F16:F19" si="25">ROUND((E16/B16),0)</f>
        <v>34605</v>
      </c>
      <c r="G16" s="110">
        <f t="shared" ref="G16:G19" si="26">ROUND((E16/C16),0)</f>
        <v>28837</v>
      </c>
      <c r="H16" s="110">
        <f t="shared" ref="H16:H19" si="27">ROUND((E16/D16),0)</f>
        <v>24031</v>
      </c>
      <c r="I16" s="110">
        <f t="shared" ref="I16:J19" si="28">T16</f>
        <v>0</v>
      </c>
      <c r="J16" s="110">
        <f t="shared" si="28"/>
        <v>0</v>
      </c>
      <c r="K16" s="111"/>
      <c r="L16" s="111"/>
      <c r="M16" s="111"/>
      <c r="N16" s="111"/>
      <c r="O16" s="111">
        <v>645</v>
      </c>
      <c r="P16" s="111">
        <f t="shared" si="8"/>
        <v>537.5</v>
      </c>
      <c r="Q16" s="111">
        <f t="shared" si="10"/>
        <v>447.91666666666669</v>
      </c>
      <c r="R16" s="112">
        <v>15500000</v>
      </c>
      <c r="S16" s="8"/>
      <c r="T16" s="8"/>
      <c r="U16" s="8"/>
      <c r="V16" s="8"/>
      <c r="W16" s="8"/>
    </row>
    <row r="17" spans="1:23" x14ac:dyDescent="0.25">
      <c r="A17" s="4">
        <f t="shared" si="20"/>
        <v>0</v>
      </c>
      <c r="B17" s="4">
        <f t="shared" si="21"/>
        <v>0</v>
      </c>
      <c r="C17" s="4">
        <f t="shared" si="22"/>
        <v>0</v>
      </c>
      <c r="D17" s="4">
        <f t="shared" si="23"/>
        <v>0</v>
      </c>
      <c r="E17" s="113">
        <f t="shared" si="24"/>
        <v>0</v>
      </c>
      <c r="F17" s="110" t="e">
        <f t="shared" si="25"/>
        <v>#DIV/0!</v>
      </c>
      <c r="G17" s="110" t="e">
        <f t="shared" si="26"/>
        <v>#DIV/0!</v>
      </c>
      <c r="H17" s="110" t="e">
        <f t="shared" si="27"/>
        <v>#DIV/0!</v>
      </c>
      <c r="I17" s="110">
        <f t="shared" si="28"/>
        <v>0</v>
      </c>
      <c r="J17" s="110">
        <f t="shared" si="28"/>
        <v>0</v>
      </c>
      <c r="K17" s="111"/>
      <c r="L17" s="111"/>
      <c r="M17" s="111"/>
      <c r="N17" s="111"/>
      <c r="O17" s="111">
        <v>0</v>
      </c>
      <c r="P17" s="111">
        <f t="shared" si="8"/>
        <v>0</v>
      </c>
      <c r="Q17" s="111">
        <f t="shared" si="10"/>
        <v>0</v>
      </c>
      <c r="R17" s="112">
        <v>0</v>
      </c>
      <c r="S17" s="8"/>
      <c r="T17" s="8"/>
      <c r="U17" s="8"/>
      <c r="V17" s="8"/>
      <c r="W17" s="8"/>
    </row>
    <row r="18" spans="1:23" x14ac:dyDescent="0.25">
      <c r="A18" s="4">
        <f t="shared" si="20"/>
        <v>0</v>
      </c>
      <c r="B18" s="4">
        <f t="shared" si="21"/>
        <v>0</v>
      </c>
      <c r="C18" s="4">
        <f t="shared" si="22"/>
        <v>0</v>
      </c>
      <c r="D18" s="4">
        <f t="shared" si="23"/>
        <v>0</v>
      </c>
      <c r="E18" s="113">
        <f t="shared" si="24"/>
        <v>0</v>
      </c>
      <c r="F18" s="110" t="e">
        <f t="shared" si="25"/>
        <v>#DIV/0!</v>
      </c>
      <c r="G18" s="110" t="e">
        <f t="shared" si="26"/>
        <v>#DIV/0!</v>
      </c>
      <c r="H18" s="110" t="e">
        <f t="shared" si="27"/>
        <v>#DIV/0!</v>
      </c>
      <c r="I18" s="110">
        <f t="shared" si="28"/>
        <v>0</v>
      </c>
      <c r="J18" s="110">
        <f t="shared" si="28"/>
        <v>0</v>
      </c>
      <c r="K18" s="111"/>
      <c r="L18" s="111"/>
      <c r="M18" s="111"/>
      <c r="N18" s="111"/>
      <c r="O18" s="111">
        <v>0</v>
      </c>
      <c r="P18" s="111">
        <f t="shared" si="8"/>
        <v>0</v>
      </c>
      <c r="Q18" s="111">
        <f t="shared" si="10"/>
        <v>0</v>
      </c>
      <c r="R18" s="112">
        <v>0</v>
      </c>
      <c r="S18" s="8"/>
      <c r="T18" s="8"/>
      <c r="U18" s="8"/>
      <c r="V18" s="8"/>
      <c r="W18" s="8"/>
    </row>
    <row r="19" spans="1:23" x14ac:dyDescent="0.25">
      <c r="A19" s="4">
        <f t="shared" si="20"/>
        <v>0</v>
      </c>
      <c r="B19" s="4">
        <f t="shared" si="21"/>
        <v>0</v>
      </c>
      <c r="C19" s="4">
        <f t="shared" si="22"/>
        <v>0</v>
      </c>
      <c r="D19" s="4">
        <f t="shared" si="23"/>
        <v>0</v>
      </c>
      <c r="E19" s="113">
        <f t="shared" si="24"/>
        <v>0</v>
      </c>
      <c r="F19" s="110" t="e">
        <f t="shared" si="25"/>
        <v>#DIV/0!</v>
      </c>
      <c r="G19" s="110" t="e">
        <f t="shared" si="26"/>
        <v>#DIV/0!</v>
      </c>
      <c r="H19" s="110" t="e">
        <f t="shared" si="27"/>
        <v>#DIV/0!</v>
      </c>
      <c r="I19" s="110">
        <f t="shared" si="28"/>
        <v>0</v>
      </c>
      <c r="J19" s="110">
        <f t="shared" si="28"/>
        <v>0</v>
      </c>
      <c r="K19" s="111"/>
      <c r="L19" s="111"/>
      <c r="M19" s="111"/>
      <c r="N19" s="111"/>
      <c r="O19" s="111">
        <v>0</v>
      </c>
      <c r="P19" s="111">
        <f t="shared" si="8"/>
        <v>0</v>
      </c>
      <c r="Q19" s="111">
        <v>0</v>
      </c>
      <c r="R19" s="112">
        <v>0</v>
      </c>
      <c r="S19" s="8"/>
      <c r="T19" s="8"/>
      <c r="U19" s="8"/>
      <c r="V19" s="8"/>
      <c r="W19" s="8"/>
    </row>
    <row r="20" spans="1:23" s="8" customFormat="1" x14ac:dyDescent="0.25">
      <c r="B20" s="58"/>
      <c r="C20" s="58"/>
      <c r="D20" s="58"/>
      <c r="E20" s="58"/>
      <c r="F20" s="114"/>
      <c r="G20" s="114"/>
      <c r="H20" s="114"/>
      <c r="I20" s="114"/>
      <c r="J20" s="114"/>
      <c r="K20" s="114"/>
      <c r="L20" s="114"/>
      <c r="M20" s="114"/>
      <c r="N20" s="114"/>
      <c r="O20" s="114"/>
      <c r="P20" s="114"/>
      <c r="Q20" s="114"/>
      <c r="R20" s="114"/>
    </row>
    <row r="21" spans="1:23" s="8" customFormat="1" ht="18" x14ac:dyDescent="0.3">
      <c r="B21" s="58"/>
      <c r="C21" s="58"/>
      <c r="D21" s="37" t="s">
        <v>143</v>
      </c>
      <c r="E21" s="37"/>
      <c r="F21" s="115"/>
      <c r="G21" s="58"/>
      <c r="H21" s="58"/>
      <c r="I21" s="58"/>
      <c r="J21" s="58"/>
      <c r="K21" s="58"/>
      <c r="L21" s="58"/>
      <c r="M21" s="58"/>
      <c r="N21" s="58"/>
      <c r="O21" s="58"/>
      <c r="P21" s="58"/>
      <c r="Q21" s="58"/>
      <c r="R21" s="58"/>
    </row>
    <row r="22" spans="1:23" s="8" customFormat="1" ht="16.5" x14ac:dyDescent="0.3">
      <c r="C22" s="37"/>
      <c r="F22" s="128"/>
      <c r="G22" s="129" t="s">
        <v>63</v>
      </c>
      <c r="I22" s="96"/>
    </row>
    <row r="23" spans="1:23" s="8" customFormat="1" x14ac:dyDescent="0.25">
      <c r="F23" s="62" t="s">
        <v>72</v>
      </c>
      <c r="G23" s="62">
        <v>482</v>
      </c>
      <c r="H23" s="8" t="s">
        <v>144</v>
      </c>
      <c r="J23" s="82"/>
      <c r="K23" s="82"/>
      <c r="L23" s="82"/>
      <c r="M23" s="82"/>
      <c r="N23" s="83" t="s">
        <v>140</v>
      </c>
      <c r="O23" s="82"/>
      <c r="P23" s="82"/>
    </row>
    <row r="24" spans="1:23" s="8" customFormat="1" x14ac:dyDescent="0.25">
      <c r="F24" s="62" t="s">
        <v>85</v>
      </c>
      <c r="G24" s="62"/>
      <c r="J24" s="82"/>
      <c r="K24" s="82"/>
      <c r="L24" s="82"/>
      <c r="M24" s="82"/>
      <c r="N24" s="83" t="s">
        <v>141</v>
      </c>
      <c r="O24" s="82"/>
      <c r="P24" s="88"/>
    </row>
    <row r="25" spans="1:23" s="8" customFormat="1" ht="16.5" x14ac:dyDescent="0.3">
      <c r="D25" s="8" t="s">
        <v>91</v>
      </c>
      <c r="E25" s="8" t="s">
        <v>94</v>
      </c>
      <c r="F25" s="47" t="s">
        <v>88</v>
      </c>
      <c r="G25" s="47"/>
      <c r="J25" s="82"/>
      <c r="K25" s="82"/>
      <c r="L25" s="82"/>
      <c r="M25" s="82"/>
      <c r="N25" s="83"/>
      <c r="O25" s="82"/>
      <c r="P25" s="100"/>
    </row>
    <row r="26" spans="1:23" s="8" customFormat="1" ht="15" customHeight="1" x14ac:dyDescent="0.25">
      <c r="D26" s="8" t="s">
        <v>1</v>
      </c>
      <c r="E26" s="8">
        <v>3300000</v>
      </c>
      <c r="F26" s="47" t="s">
        <v>89</v>
      </c>
      <c r="G26" s="47"/>
      <c r="J26" s="84" t="s">
        <v>63</v>
      </c>
      <c r="K26" s="82"/>
      <c r="L26" s="82"/>
      <c r="M26" s="82"/>
      <c r="N26" s="84"/>
      <c r="O26" s="82"/>
      <c r="P26" s="99"/>
    </row>
    <row r="27" spans="1:23" s="8" customFormat="1" ht="16.5" customHeight="1" x14ac:dyDescent="0.3">
      <c r="C27"/>
      <c r="D27" s="8" t="s">
        <v>73</v>
      </c>
      <c r="E27" s="69"/>
      <c r="F27" s="61" t="s">
        <v>75</v>
      </c>
      <c r="G27" s="61">
        <f>SUM(G23:G26)</f>
        <v>482</v>
      </c>
      <c r="H27" s="68" t="s">
        <v>142</v>
      </c>
      <c r="J27" s="84">
        <v>657</v>
      </c>
      <c r="K27" s="82"/>
      <c r="L27" s="82"/>
      <c r="M27" s="82"/>
      <c r="N27" s="84"/>
      <c r="O27" s="82"/>
      <c r="P27" s="100"/>
    </row>
    <row r="28" spans="1:23" s="8" customFormat="1" ht="16.5" x14ac:dyDescent="0.3">
      <c r="C28"/>
      <c r="F28" s="47" t="s">
        <v>86</v>
      </c>
      <c r="G28" s="47">
        <v>547</v>
      </c>
      <c r="H28" s="68"/>
      <c r="J28" s="84"/>
      <c r="K28" s="82"/>
      <c r="L28" s="82"/>
      <c r="M28" s="82"/>
      <c r="N28" s="85"/>
      <c r="O28" s="82"/>
      <c r="P28" s="67"/>
    </row>
    <row r="29" spans="1:23" s="8" customFormat="1" ht="16.5" x14ac:dyDescent="0.25">
      <c r="C29"/>
      <c r="E29" s="69"/>
      <c r="F29" s="47" t="s">
        <v>76</v>
      </c>
      <c r="G29" s="47"/>
      <c r="H29" s="89"/>
      <c r="J29" s="86"/>
      <c r="K29" s="82"/>
      <c r="L29" s="82"/>
      <c r="M29" s="82"/>
      <c r="N29" s="85"/>
      <c r="O29" s="82"/>
      <c r="P29" s="90"/>
    </row>
    <row r="30" spans="1:23" s="8" customFormat="1" ht="16.5" x14ac:dyDescent="0.25">
      <c r="C30"/>
      <c r="F30" s="62" t="s">
        <v>77</v>
      </c>
      <c r="G30" s="62"/>
      <c r="H30" s="89"/>
      <c r="J30" s="85"/>
      <c r="K30" s="82"/>
      <c r="L30" s="82"/>
      <c r="M30" s="82"/>
      <c r="N30" s="85"/>
      <c r="O30" s="82"/>
      <c r="P30" s="90"/>
    </row>
    <row r="31" spans="1:23" s="8" customFormat="1" x14ac:dyDescent="0.25">
      <c r="C31"/>
      <c r="D31"/>
      <c r="F31" s="61" t="s">
        <v>87</v>
      </c>
      <c r="G31" s="61">
        <v>547</v>
      </c>
      <c r="H31" s="8" t="s">
        <v>139</v>
      </c>
      <c r="J31" s="85"/>
      <c r="K31" s="82"/>
      <c r="L31" s="82"/>
      <c r="M31" s="82"/>
    </row>
    <row r="32" spans="1:23" s="8" customFormat="1" x14ac:dyDescent="0.25">
      <c r="C32"/>
      <c r="D32"/>
      <c r="F32" s="61" t="s">
        <v>87</v>
      </c>
      <c r="G32" s="61">
        <v>547</v>
      </c>
      <c r="J32" s="85"/>
      <c r="K32" s="82"/>
      <c r="L32" s="82"/>
      <c r="M32" s="82"/>
    </row>
    <row r="33" spans="2:20" s="8" customFormat="1" x14ac:dyDescent="0.25">
      <c r="C33"/>
      <c r="D33"/>
      <c r="F33" s="47" t="s">
        <v>73</v>
      </c>
      <c r="G33" s="47">
        <v>21830</v>
      </c>
      <c r="J33" s="94"/>
      <c r="K33" s="82"/>
      <c r="L33" s="82"/>
      <c r="M33" s="82"/>
    </row>
    <row r="34" spans="2:20" s="8" customFormat="1" x14ac:dyDescent="0.25">
      <c r="B34" s="8" t="s">
        <v>93</v>
      </c>
      <c r="C34"/>
      <c r="D34"/>
      <c r="F34" s="61" t="s">
        <v>74</v>
      </c>
      <c r="G34" s="61">
        <f>G31*G33</f>
        <v>11941010</v>
      </c>
      <c r="H34" s="8">
        <f>G34/E26</f>
        <v>3.6184878787878789</v>
      </c>
      <c r="J34" s="95"/>
      <c r="K34" s="82"/>
      <c r="L34" s="82"/>
      <c r="M34" s="82"/>
      <c r="N34" t="s">
        <v>126</v>
      </c>
    </row>
    <row r="35" spans="2:20" s="8" customFormat="1" x14ac:dyDescent="0.25">
      <c r="C35"/>
      <c r="D35"/>
      <c r="F35" s="61" t="s">
        <v>24</v>
      </c>
      <c r="G35" s="61">
        <f>G34*90%</f>
        <v>10746909</v>
      </c>
      <c r="J35" s="92"/>
      <c r="N35" s="116" t="s">
        <v>103</v>
      </c>
    </row>
    <row r="36" spans="2:20" s="8" customFormat="1" x14ac:dyDescent="0.25">
      <c r="C36"/>
      <c r="D36"/>
      <c r="F36" s="61" t="s">
        <v>25</v>
      </c>
      <c r="G36" s="61">
        <f>G34*80%</f>
        <v>9552808</v>
      </c>
      <c r="J36" s="92"/>
      <c r="N36" s="103" t="s">
        <v>104</v>
      </c>
      <c r="P36" s="58"/>
      <c r="R36" s="8" t="s">
        <v>73</v>
      </c>
    </row>
    <row r="37" spans="2:20" ht="16.5" x14ac:dyDescent="0.3">
      <c r="J37" s="93"/>
      <c r="N37" s="123" t="s">
        <v>130</v>
      </c>
      <c r="Q37" s="38">
        <v>1685</v>
      </c>
      <c r="R37" s="67">
        <v>29505</v>
      </c>
      <c r="S37" s="126">
        <v>49715925</v>
      </c>
    </row>
    <row r="38" spans="2:20" ht="16.5" x14ac:dyDescent="0.25">
      <c r="J38" s="101"/>
      <c r="N38" s="123" t="s">
        <v>127</v>
      </c>
      <c r="P38" s="58"/>
      <c r="Q38" s="8"/>
      <c r="R38" s="8"/>
      <c r="S38" s="8"/>
      <c r="T38" s="8"/>
    </row>
    <row r="39" spans="2:20" x14ac:dyDescent="0.25">
      <c r="F39" s="69"/>
      <c r="G39" s="69"/>
      <c r="H39" s="8"/>
      <c r="I39" s="8"/>
      <c r="K39" s="58"/>
      <c r="L39" s="58"/>
      <c r="N39" s="124"/>
      <c r="P39" s="99"/>
      <c r="Q39" s="58"/>
      <c r="R39" s="58"/>
      <c r="S39" s="58"/>
      <c r="T39" s="8"/>
    </row>
    <row r="40" spans="2:20" ht="16.5" x14ac:dyDescent="0.25">
      <c r="F40" s="68"/>
      <c r="G40" s="69"/>
      <c r="H40" s="8"/>
      <c r="I40" s="8"/>
      <c r="K40" s="58"/>
      <c r="L40" s="58"/>
      <c r="N40" s="125" t="s">
        <v>128</v>
      </c>
      <c r="Q40" s="104"/>
      <c r="R40" s="103"/>
      <c r="T40" s="8"/>
    </row>
    <row r="41" spans="2:20" ht="16.5" x14ac:dyDescent="0.3">
      <c r="F41" s="69"/>
      <c r="G41" s="69"/>
      <c r="H41" s="8"/>
      <c r="I41" s="8"/>
      <c r="K41" s="58"/>
      <c r="L41" s="58"/>
      <c r="N41" s="37" t="s">
        <v>129</v>
      </c>
      <c r="Q41" s="58"/>
      <c r="R41" s="58"/>
      <c r="S41" s="58"/>
      <c r="T41" s="8"/>
    </row>
    <row r="42" spans="2:20" ht="16.5" x14ac:dyDescent="0.25">
      <c r="P42" s="90"/>
      <c r="Q42" s="58"/>
      <c r="R42" s="58"/>
      <c r="S42" s="58"/>
      <c r="T42" s="8"/>
    </row>
    <row r="43" spans="2:20" ht="18" x14ac:dyDescent="0.3">
      <c r="N43" s="116" t="s">
        <v>118</v>
      </c>
      <c r="O43" s="82"/>
      <c r="P43" s="90"/>
      <c r="Q43" s="8"/>
      <c r="R43" s="8"/>
      <c r="S43" s="8"/>
      <c r="T43" s="81"/>
    </row>
    <row r="44" spans="2:20" ht="16.5" x14ac:dyDescent="0.25">
      <c r="I44" s="97"/>
      <c r="N44" s="116" t="s">
        <v>119</v>
      </c>
      <c r="O44" s="82"/>
      <c r="P44" s="90"/>
      <c r="Q44" s="8"/>
      <c r="R44" s="8"/>
      <c r="S44" s="8"/>
      <c r="T44" s="81"/>
    </row>
    <row r="45" spans="2:20" ht="16.5" x14ac:dyDescent="0.25">
      <c r="N45" s="82" t="s">
        <v>120</v>
      </c>
      <c r="O45" s="82"/>
      <c r="P45" s="90"/>
      <c r="Q45" s="8"/>
      <c r="R45" s="8" t="s">
        <v>131</v>
      </c>
      <c r="S45" s="8"/>
      <c r="T45" s="8"/>
    </row>
    <row r="46" spans="2:20" ht="16.5" x14ac:dyDescent="0.25">
      <c r="G46" s="34"/>
      <c r="N46" s="90" t="s">
        <v>121</v>
      </c>
      <c r="O46" s="82"/>
      <c r="P46" s="91"/>
      <c r="Q46" s="8"/>
      <c r="R46" s="8"/>
      <c r="S46" s="8"/>
      <c r="T46" s="8"/>
    </row>
    <row r="47" spans="2:20" ht="16.5" x14ac:dyDescent="0.25">
      <c r="N47" s="90" t="s">
        <v>122</v>
      </c>
      <c r="O47" s="8"/>
      <c r="P47" s="98"/>
      <c r="Q47" s="8"/>
      <c r="R47" s="8"/>
      <c r="S47" s="8"/>
    </row>
    <row r="48" spans="2:20" ht="16.5" x14ac:dyDescent="0.25">
      <c r="N48" s="120" t="s">
        <v>123</v>
      </c>
      <c r="P48" s="105"/>
    </row>
    <row r="49" spans="14:20" ht="16.5" x14ac:dyDescent="0.3">
      <c r="N49" s="121" t="s">
        <v>124</v>
      </c>
      <c r="P49" s="106"/>
      <c r="S49" s="58"/>
      <c r="T49" s="8"/>
    </row>
    <row r="50" spans="14:20" ht="16.5" x14ac:dyDescent="0.3">
      <c r="O50" s="115">
        <v>739</v>
      </c>
      <c r="P50" s="122">
        <v>16595</v>
      </c>
      <c r="Q50" s="2">
        <v>12263705</v>
      </c>
      <c r="S50" s="58"/>
      <c r="T50" s="8"/>
    </row>
    <row r="51" spans="14:20" x14ac:dyDescent="0.25">
      <c r="P51" s="58" t="s">
        <v>125</v>
      </c>
      <c r="Q51">
        <f>Q50/616</f>
        <v>19908.612012987014</v>
      </c>
      <c r="S51" s="58"/>
      <c r="T51" s="8"/>
    </row>
    <row r="52" spans="14:20" ht="16.5" x14ac:dyDescent="0.25">
      <c r="P52" s="107"/>
      <c r="S52" s="58"/>
      <c r="T52" s="8"/>
    </row>
    <row r="53" spans="14:20" x14ac:dyDescent="0.25">
      <c r="P53" s="8"/>
      <c r="S53" s="8"/>
      <c r="T53" s="8"/>
    </row>
    <row r="54" spans="14:20" x14ac:dyDescent="0.25">
      <c r="P54" s="8"/>
      <c r="S54" s="8"/>
      <c r="T54" s="8"/>
    </row>
    <row r="55" spans="14:20" x14ac:dyDescent="0.25">
      <c r="N55" s="64">
        <v>2006</v>
      </c>
      <c r="O55" s="8">
        <v>3300000</v>
      </c>
      <c r="P55" s="8"/>
      <c r="S55" s="8"/>
      <c r="T55" s="8"/>
    </row>
    <row r="56" spans="14:20" x14ac:dyDescent="0.25">
      <c r="N56" s="64">
        <v>2007</v>
      </c>
      <c r="O56" s="8">
        <f>O55*1.1</f>
        <v>3630000.0000000005</v>
      </c>
      <c r="P56" s="8"/>
      <c r="S56" s="8"/>
      <c r="T56" s="8"/>
    </row>
    <row r="57" spans="14:20" x14ac:dyDescent="0.25">
      <c r="N57" s="64">
        <v>2008</v>
      </c>
      <c r="O57" s="8">
        <f t="shared" ref="O57:O72" si="29">O56*1.1</f>
        <v>3993000.0000000009</v>
      </c>
    </row>
    <row r="58" spans="14:20" x14ac:dyDescent="0.25">
      <c r="N58" s="64">
        <v>2009</v>
      </c>
      <c r="O58" s="8">
        <f t="shared" si="29"/>
        <v>4392300.0000000009</v>
      </c>
    </row>
    <row r="59" spans="14:20" x14ac:dyDescent="0.25">
      <c r="N59" s="64">
        <v>2010</v>
      </c>
      <c r="O59" s="8">
        <f t="shared" si="29"/>
        <v>4831530.0000000019</v>
      </c>
    </row>
    <row r="60" spans="14:20" x14ac:dyDescent="0.25">
      <c r="N60" s="64">
        <v>2011</v>
      </c>
      <c r="O60" s="8">
        <f t="shared" si="29"/>
        <v>5314683.0000000028</v>
      </c>
    </row>
    <row r="61" spans="14:20" x14ac:dyDescent="0.25">
      <c r="N61" s="64">
        <v>2012</v>
      </c>
      <c r="O61" s="8">
        <f t="shared" si="29"/>
        <v>5846151.3000000035</v>
      </c>
    </row>
    <row r="62" spans="14:20" x14ac:dyDescent="0.25">
      <c r="N62" s="64">
        <v>2013</v>
      </c>
      <c r="O62" s="8">
        <f t="shared" si="29"/>
        <v>6430766.4300000044</v>
      </c>
    </row>
    <row r="63" spans="14:20" x14ac:dyDescent="0.25">
      <c r="N63" s="64">
        <v>2014</v>
      </c>
      <c r="O63" s="8">
        <f t="shared" si="29"/>
        <v>7073843.0730000054</v>
      </c>
    </row>
    <row r="64" spans="14:20" x14ac:dyDescent="0.25">
      <c r="N64" s="64">
        <v>2015</v>
      </c>
      <c r="O64" s="8">
        <f t="shared" si="29"/>
        <v>7781227.3803000068</v>
      </c>
    </row>
    <row r="65" spans="14:15" x14ac:dyDescent="0.25">
      <c r="N65" s="64">
        <v>2016</v>
      </c>
      <c r="O65" s="8">
        <f t="shared" si="29"/>
        <v>8559350.1183300074</v>
      </c>
    </row>
    <row r="66" spans="14:15" x14ac:dyDescent="0.25">
      <c r="N66" s="64">
        <v>2017</v>
      </c>
      <c r="O66" s="8">
        <f t="shared" si="29"/>
        <v>9415285.1301630083</v>
      </c>
    </row>
    <row r="67" spans="14:15" x14ac:dyDescent="0.25">
      <c r="N67" s="64">
        <v>2018</v>
      </c>
      <c r="O67" s="8">
        <f t="shared" si="29"/>
        <v>10356813.64317931</v>
      </c>
    </row>
    <row r="68" spans="14:15" x14ac:dyDescent="0.25">
      <c r="N68" s="64">
        <v>2019</v>
      </c>
      <c r="O68" s="8">
        <f t="shared" si="29"/>
        <v>11392495.007497242</v>
      </c>
    </row>
    <row r="69" spans="14:15" x14ac:dyDescent="0.25">
      <c r="N69" s="64">
        <v>2020</v>
      </c>
      <c r="O69" s="8">
        <f t="shared" si="29"/>
        <v>12531744.508246968</v>
      </c>
    </row>
    <row r="70" spans="14:15" x14ac:dyDescent="0.25">
      <c r="N70" s="64">
        <v>2021</v>
      </c>
      <c r="O70" s="8">
        <f t="shared" si="29"/>
        <v>13784918.959071666</v>
      </c>
    </row>
    <row r="71" spans="14:15" x14ac:dyDescent="0.25">
      <c r="N71" s="64">
        <v>2022</v>
      </c>
      <c r="O71" s="8">
        <f t="shared" si="29"/>
        <v>15163410.854978833</v>
      </c>
    </row>
    <row r="72" spans="14:15" x14ac:dyDescent="0.25">
      <c r="N72" s="64">
        <v>2023</v>
      </c>
      <c r="O72" s="8">
        <f t="shared" si="29"/>
        <v>16679751.940476717</v>
      </c>
    </row>
  </sheetData>
  <pageMargins left="0.70866141732283472" right="0.70866141732283472" top="0.74803149606299213" bottom="0.74803149606299213" header="0.31496062992125984" footer="0.31496062992125984"/>
  <pageSetup paperSize="9" scale="8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33:A34"/>
  <sheetViews>
    <sheetView topLeftCell="H1" zoomScaleNormal="100" workbookViewId="0">
      <selection activeCell="H1" sqref="H1"/>
    </sheetView>
  </sheetViews>
  <sheetFormatPr defaultRowHeight="15" x14ac:dyDescent="0.25"/>
  <sheetData>
    <row r="33" ht="9" customHeight="1" x14ac:dyDescent="0.25"/>
    <row r="34" hidden="1" x14ac:dyDescent="0.25"/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C3EA66-E17E-4C60-99F0-14B7D07ED892}">
  <dimension ref="A1"/>
  <sheetViews>
    <sheetView zoomScale="85" zoomScaleNormal="85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A8A5B7-2B88-428E-8EB3-32AC1DEDD88D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F17BAD-8F80-4E70-BDC8-86E90170C53B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D372DC-3E60-4281-BE2B-A28FD62A1763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DBCBF-8944-492E-B311-7F26AE348282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BA51D-8ADC-4073-9AD1-AEA1A2245859}">
  <dimension ref="A1"/>
  <sheetViews>
    <sheetView topLeftCell="A13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3A0FC7-D024-4BF2-8303-88923EA1F3FF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EAE89A-967F-46D7-AE7B-C3D144A19BC0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F94D71-EA86-49FF-98DE-776627CF2A7B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BDE15D-6730-41D7-A3AA-6ACC45CF2C48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22FCCF-D00C-4ADC-A877-653BA11DFC1B}">
  <dimension ref="A1"/>
  <sheetViews>
    <sheetView topLeftCell="A4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D328D-40D8-432D-A0B5-8E2A63A0BEC4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AE43E2-B5E3-44C7-8AA3-BFE9A8D2CE24}">
  <dimension ref="A1"/>
  <sheetViews>
    <sheetView workbookViewId="0">
      <selection activeCell="A57" sqref="A5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28D9D-76DB-4285-B5A7-545BF5D350F4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19</vt:i4>
      </vt:variant>
      <vt:variant>
        <vt:lpstr>Named Ranges</vt:lpstr>
      </vt:variant>
      <vt:variant>
        <vt:i4>1</vt:i4>
      </vt:variant>
    </vt:vector>
  </HeadingPairs>
  <TitlesOfParts>
    <vt:vector size="20" baseType="lpstr">
      <vt:lpstr>Depreciation</vt:lpstr>
      <vt:lpstr>Sale plan</vt:lpstr>
      <vt:lpstr>Calculation</vt:lpstr>
      <vt:lpstr>20-20</vt:lpstr>
      <vt:lpstr>Sheet1</vt:lpstr>
      <vt:lpstr>Sheet2</vt:lpstr>
      <vt:lpstr>Sheet3</vt:lpstr>
      <vt:lpstr>Sheet4</vt:lpstr>
      <vt:lpstr>Sheet5</vt:lpstr>
      <vt:lpstr>Sheet6</vt:lpstr>
      <vt:lpstr>Sheet7</vt:lpstr>
      <vt:lpstr>Sheet8</vt:lpstr>
      <vt:lpstr>Sheet9</vt:lpstr>
      <vt:lpstr>Sheet10</vt:lpstr>
      <vt:lpstr>Sheet11</vt:lpstr>
      <vt:lpstr>Sheet12</vt:lpstr>
      <vt:lpstr>Sheet13</vt:lpstr>
      <vt:lpstr>Sheet14</vt:lpstr>
      <vt:lpstr>Sheet15</vt:lpstr>
      <vt:lpstr>'20-20'!_Hlk83481416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Akhilesh</dc:creator>
  <cp:lastModifiedBy>Desk-111</cp:lastModifiedBy>
  <cp:lastPrinted>2019-11-05T06:14:02Z</cp:lastPrinted>
  <dcterms:created xsi:type="dcterms:W3CDTF">2018-02-17T10:36:41Z</dcterms:created>
  <dcterms:modified xsi:type="dcterms:W3CDTF">2023-08-29T12:04:55Z</dcterms:modified>
</cp:coreProperties>
</file>