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Branch Fort_Nakshatra Multispeciality Hospital\"/>
    </mc:Choice>
  </mc:AlternateContent>
  <xr:revisionPtr revIDLastSave="0" documentId="13_ncr:1_{1E710476-00AA-42C5-8E7A-9E99648FA41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Annexure" sheetId="26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  <sheet name="Sheet11" sheetId="27" r:id="rId16"/>
    <sheet name="Sheet12" sheetId="28" r:id="rId17"/>
    <sheet name="Sheet13" sheetId="29" r:id="rId18"/>
    <sheet name="Sheet14" sheetId="30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26" l="1"/>
  <c r="G25" i="26" s="1"/>
  <c r="O20" i="26"/>
  <c r="G16" i="26"/>
  <c r="E25" i="26"/>
  <c r="A27" i="26"/>
  <c r="L11" i="26"/>
  <c r="L10" i="26"/>
  <c r="L9" i="26"/>
  <c r="L8" i="26"/>
  <c r="L7" i="26"/>
  <c r="L6" i="26"/>
  <c r="L5" i="26"/>
  <c r="L4" i="26"/>
  <c r="L3" i="26"/>
  <c r="G20" i="26"/>
  <c r="F20" i="26"/>
  <c r="P11" i="4"/>
  <c r="N3" i="26"/>
  <c r="D14" i="26"/>
  <c r="G13" i="26"/>
  <c r="E13" i="26"/>
  <c r="O13" i="26" s="1"/>
  <c r="P13" i="26" s="1"/>
  <c r="N10" i="26"/>
  <c r="G10" i="26"/>
  <c r="E10" i="26"/>
  <c r="F10" i="26" s="1"/>
  <c r="N9" i="26"/>
  <c r="G9" i="26"/>
  <c r="E9" i="26"/>
  <c r="F9" i="26" s="1"/>
  <c r="N8" i="26"/>
  <c r="G8" i="26"/>
  <c r="E8" i="26"/>
  <c r="F8" i="26" s="1"/>
  <c r="N7" i="26"/>
  <c r="G7" i="26"/>
  <c r="E7" i="26"/>
  <c r="F7" i="26" s="1"/>
  <c r="N6" i="26"/>
  <c r="G6" i="26"/>
  <c r="E6" i="26"/>
  <c r="F6" i="26" s="1"/>
  <c r="N5" i="26"/>
  <c r="G5" i="26"/>
  <c r="E5" i="26"/>
  <c r="I5" i="26" s="1"/>
  <c r="N4" i="26"/>
  <c r="G4" i="26"/>
  <c r="E4" i="26"/>
  <c r="F4" i="26" s="1"/>
  <c r="G3" i="26"/>
  <c r="E3" i="26"/>
  <c r="F3" i="26" s="1"/>
  <c r="I4" i="26" l="1"/>
  <c r="I8" i="26"/>
  <c r="I9" i="26"/>
  <c r="I6" i="26"/>
  <c r="I10" i="26"/>
  <c r="I3" i="26"/>
  <c r="I7" i="26"/>
  <c r="G11" i="26"/>
  <c r="G14" i="26" s="1"/>
  <c r="O10" i="26"/>
  <c r="P10" i="26" s="1"/>
  <c r="O6" i="26"/>
  <c r="P6" i="26" s="1"/>
  <c r="O8" i="26"/>
  <c r="P8" i="26" s="1"/>
  <c r="O4" i="26"/>
  <c r="P4" i="26" s="1"/>
  <c r="O5" i="26"/>
  <c r="P5" i="26" s="1"/>
  <c r="F13" i="26"/>
  <c r="O3" i="26"/>
  <c r="O9" i="26"/>
  <c r="P9" i="26" s="1"/>
  <c r="E11" i="26"/>
  <c r="E14" i="26" s="1"/>
  <c r="F5" i="26"/>
  <c r="O7" i="26"/>
  <c r="P7" i="26" s="1"/>
  <c r="P9" i="4"/>
  <c r="Q4" i="4"/>
  <c r="I11" i="26" l="1"/>
  <c r="O11" i="26"/>
  <c r="O16" i="26" s="1"/>
  <c r="P3" i="26"/>
  <c r="P3" i="4"/>
  <c r="Q2" i="4"/>
  <c r="O14" i="26" l="1"/>
  <c r="D45" i="4"/>
  <c r="D38" i="4"/>
  <c r="D34" i="4"/>
  <c r="C5" i="25"/>
  <c r="C4" i="25"/>
  <c r="C3" i="25"/>
  <c r="P2" i="4"/>
  <c r="B2" i="4" s="1"/>
  <c r="C2" i="4" s="1"/>
  <c r="Q3" i="4"/>
  <c r="B3" i="4" s="1"/>
  <c r="C3" i="4" s="1"/>
  <c r="D3" i="4" s="1"/>
  <c r="P4" i="4"/>
  <c r="B4" i="4" s="1"/>
  <c r="C4" i="4" s="1"/>
  <c r="D4" i="4" s="1"/>
  <c r="P5" i="4"/>
  <c r="Q6" i="4"/>
  <c r="B6" i="4" s="1"/>
  <c r="C6" i="4" s="1"/>
  <c r="Q7" i="4"/>
  <c r="B7" i="4" s="1"/>
  <c r="C7" i="4" s="1"/>
  <c r="D7" i="4" s="1"/>
  <c r="P8" i="4"/>
  <c r="B8" i="4" s="1"/>
  <c r="C8" i="4" s="1"/>
  <c r="D8" i="4" s="1"/>
  <c r="B9" i="4"/>
  <c r="C9" i="4" s="1"/>
  <c r="D9" i="4" s="1"/>
  <c r="P10" i="4"/>
  <c r="B10" i="4" s="1"/>
  <c r="C10" i="4" s="1"/>
  <c r="P17" i="4"/>
  <c r="Q17" i="4" s="1"/>
  <c r="J17" i="4"/>
  <c r="I17" i="4"/>
  <c r="P15" i="4"/>
  <c r="B15" i="4" s="1"/>
  <c r="C15" i="4" s="1"/>
  <c r="D15" i="4" s="1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4" i="4" l="1"/>
  <c r="Q11" i="26"/>
  <c r="H12" i="4"/>
  <c r="G11" i="4"/>
  <c r="G15" i="4"/>
  <c r="H4" i="4"/>
  <c r="D40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<sst xmlns="http://schemas.openxmlformats.org/spreadsheetml/2006/main" count="189" uniqueCount="119">
  <si>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</si>
  <si>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</si>
  <si>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</si>
  <si>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</si>
  <si>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</si>
  <si>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</si>
  <si>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</si>
  <si>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</si>
  <si>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</si>
  <si>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</si>
  <si>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</si>
  <si>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</si>
  <si>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</si>
  <si>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</si>
  <si>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</si>
  <si>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</si>
  <si>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</si>
  <si>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</si>
  <si>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</si>
  <si>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</si>
  <si>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</si>
  <si>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</si>
  <si>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</si>
  <si>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</si>
  <si>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</si>
  <si>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</si>
  <si>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</si>
  <si>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</si>
  <si>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</si>
  <si>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</si>
  <si>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</si>
  <si>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</si>
  <si>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</si>
  <si>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</si>
  <si>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</si>
  <si>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</si>
  <si>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</si>
  <si>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</si>
  <si>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</si>
  <si>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</si>
  <si>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</si>
  <si>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</si>
  <si>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</si>
  <si>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</si>
  <si>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</si>
  <si>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</si>
  <si>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</si>
  <si>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</si>
  <si>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</si>
  <si>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</si>
  <si>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</si>
  <si>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</si>
  <si>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</si>
  <si>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</si>
  <si>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</si>
  <si>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</si>
  <si>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</si>
  <si>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</si>
  <si>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</si>
  <si>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</si>
  <si>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</si>
  <si>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</si>
  <si>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</si>
  <si>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</si>
  <si>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</si>
  <si>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</si>
  <si>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</si>
  <si>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</si>
  <si>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</si>
  <si>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</si>
  <si>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</si>
  <si>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</si>
  <si>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</si>
  <si>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</si>
  <si>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</si>
  <si>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</si>
  <si>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</si>
  <si>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</si>
  <si>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</si>
  <si>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</si>
  <si>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</si>
  <si>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</si>
  <si>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</si>
  <si>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</si>
  <si>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</si>
  <si>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CA</t>
  </si>
  <si>
    <t>RATE</t>
  </si>
  <si>
    <t>VALUE</t>
  </si>
  <si>
    <t>INTERIOR</t>
  </si>
  <si>
    <t>TOTAL FMV</t>
  </si>
  <si>
    <t>PREV VAL - 13.01.2023 - JAGTAP ASS - FLAT NO. 101 TO 108</t>
  </si>
  <si>
    <t>PREV VAL - 13.01.2023 - JAGTAP ASS - FLAT NO. 203</t>
  </si>
  <si>
    <t>IGR-09.03.2023</t>
  </si>
  <si>
    <t>IGR-08.03.2022</t>
  </si>
  <si>
    <t>IGR-11.09.2020</t>
  </si>
  <si>
    <t>Flat No.</t>
  </si>
  <si>
    <t>Agreement Date</t>
  </si>
  <si>
    <t>Agreement Value</t>
  </si>
  <si>
    <t>Carpet Area</t>
  </si>
  <si>
    <t>Name of Client</t>
  </si>
  <si>
    <t>ACA</t>
  </si>
  <si>
    <t>26.12.2018</t>
  </si>
  <si>
    <t>Shri. China Subhanshah Pattan</t>
  </si>
  <si>
    <t>21.12.2018</t>
  </si>
  <si>
    <t>Shri. Shamshershah Pathan</t>
  </si>
  <si>
    <t>Shri. Kashmoorvalishah Pathan</t>
  </si>
  <si>
    <t xml:space="preserve">Smt. Alma Begum Subhan Shah </t>
  </si>
  <si>
    <t>Total Rate on CA</t>
  </si>
  <si>
    <t>Rate on CA</t>
  </si>
  <si>
    <t>Rate on Interior</t>
  </si>
  <si>
    <t>Total Value</t>
  </si>
  <si>
    <t>Final Value</t>
  </si>
  <si>
    <t xml:space="preserve">Unit Value </t>
  </si>
  <si>
    <t>Interior Value</t>
  </si>
  <si>
    <t>GV</t>
  </si>
  <si>
    <t>Commercial</t>
  </si>
  <si>
    <t>Total GV</t>
  </si>
  <si>
    <t>IGR-29.03.23</t>
  </si>
  <si>
    <t>IGR-20.03.23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</si>
</sst>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5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2" fillId="0" borderId="9" xfId="1" applyFont="1" applyBorder="1" applyAlignment="1">
      <alignment wrapText="1"/>
    </xf>
    <xf numFmtId="0" fontId="10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9" xfId="0" applyFont="1" applyBorder="1"/>
    <xf numFmtId="0" fontId="12" fillId="0" borderId="9" xfId="0" applyFont="1" applyBorder="1" applyAlignment="1">
      <alignment horizontal="center"/>
    </xf>
    <xf numFmtId="43" fontId="12" fillId="0" borderId="9" xfId="1" applyFont="1" applyBorder="1"/>
    <xf numFmtId="0" fontId="12" fillId="0" borderId="0" xfId="0" applyFont="1"/>
    <xf numFmtId="0" fontId="10" fillId="0" borderId="9" xfId="0" applyFont="1" applyBorder="1"/>
    <xf numFmtId="43" fontId="10" fillId="0" borderId="9" xfId="1" applyFont="1" applyBorder="1"/>
    <xf numFmtId="0" fontId="10" fillId="0" borderId="0" xfId="0" applyFont="1"/>
    <xf numFmtId="43" fontId="12" fillId="2" borderId="9" xfId="1" applyFont="1" applyFill="1" applyBorder="1"/>
    <xf numFmtId="43" fontId="12" fillId="0" borderId="0" xfId="0" applyNumberFormat="1" applyFont="1"/>
    <xf numFmtId="0" fontId="10" fillId="2" borderId="0" xfId="0" applyFont="1" applyFill="1"/>
    <xf numFmtId="43" fontId="10" fillId="2" borderId="9" xfId="1" applyFont="1" applyFill="1" applyBorder="1"/>
    <xf numFmtId="165" fontId="12" fillId="2" borderId="9" xfId="1" applyNumberFormat="1" applyFont="1" applyFill="1" applyBorder="1"/>
    <xf numFmtId="165" fontId="10" fillId="2" borderId="9" xfId="1" applyNumberFormat="1" applyFont="1" applyFill="1" applyBorder="1"/>
    <xf numFmtId="4" fontId="13" fillId="0" borderId="10" xfId="0" applyNumberFormat="1" applyFont="1" applyBorder="1" applyAlignment="1">
      <alignment horizontal="right" vertical="center" wrapText="1"/>
    </xf>
    <xf numFmtId="4" fontId="13" fillId="0" borderId="11" xfId="0" applyNumberFormat="1" applyFont="1" applyBorder="1" applyAlignment="1">
      <alignment horizontal="right" vertical="center" wrapText="1"/>
    </xf>
    <xf numFmtId="4" fontId="12" fillId="0" borderId="0" xfId="0" applyNumberFormat="1" applyFont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803463-5E7E-38FA-AC1E-3D91CC61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226C7C-1A93-4F11-2617-BD7CA2A2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49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4BC1B-3765-6651-D316-15E92A1F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89452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9AA18F-4FA2-75AB-3D20-3605F546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E810A-659E-1D8F-9357-EF4B06E6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0BC53-D793-2206-D2F8-A98C2E762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974F9-8BE9-FAB9-64B1-1BB65423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3FA187-AC76-2BBC-67A2-2ACDCD231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48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8568A-471D-A995-7B61-05FBA3F0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6F8E59-3FB4-7FB9-6E4E-E0049ED5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D1D88-DBC4-312C-8C57-563E405F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90690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D5EF0-7CD4-01F2-2D30-F4B5F420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F506C7-0116-7ED0-DE1E-A22583E4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D543C-740E-2BCA-9DCA-4F7D0E84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20" sqref="N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9A351-6B12-49A7-85A7-EE01B492F3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8BBF1-921F-48F2-ACB6-EE7EAC83D5A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BE46-99CC-4F24-A5DC-EA43E13CC9B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EC235-6B44-4BA1-9596-4E889AC2649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16" sqref="L1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98"/>
      <c r="L1" s="98"/>
      <c r="M1" s="98"/>
      <c r="N1" s="98"/>
      <c r="O1" s="98"/>
      <c r="P1" s="98"/>
      <c r="Q1" s="98"/>
      <c r="R1" s="9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37500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34500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34500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580.17999999999995</v>
      </c>
      <c r="D18" s="26"/>
      <c r="F18" s="19"/>
    </row>
    <row r="19" spans="1:6" x14ac:dyDescent="0.25">
      <c r="A19" s="16" t="s">
        <v>74</v>
      </c>
      <c r="B19" s="6"/>
      <c r="C19" s="32">
        <f>C18*C16</f>
        <v>21756749.999999996</v>
      </c>
      <c r="D19" s="33"/>
      <c r="E19" s="70"/>
      <c r="F19" s="34"/>
    </row>
    <row r="20" spans="1:6" x14ac:dyDescent="0.25">
      <c r="A20" s="16" t="s">
        <v>24</v>
      </c>
      <c r="C20" s="35">
        <f>C19*90%</f>
        <v>19581074.999999996</v>
      </c>
      <c r="D20" s="32"/>
      <c r="F20" s="19"/>
    </row>
    <row r="21" spans="1:6" x14ac:dyDescent="0.25">
      <c r="A21" s="16" t="s">
        <v>25</v>
      </c>
      <c r="C21" s="35">
        <f>C19*80%</f>
        <v>17405399.999999996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1740539.9999999998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45326.562499999993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38113-1FA3-46F8-A56C-ACC2008E3B38}">
  <dimension ref="A1:Q33"/>
  <sheetViews>
    <sheetView tabSelected="1" workbookViewId="0">
      <selection activeCell="E18" sqref="E18"/>
    </sheetView>
  </sheetViews>
  <sheetFormatPr defaultRowHeight="19.5" x14ac:dyDescent="0.3"/>
  <cols>
    <col min="1" max="1" width="40.28515625" style="83" bestFit="1" customWidth="1"/>
    <col min="2" max="2" width="10.5703125" style="83" bestFit="1" customWidth="1"/>
    <col min="3" max="3" width="21.140625" style="83" customWidth="1"/>
    <col min="4" max="4" width="22.42578125" style="83" customWidth="1"/>
    <col min="5" max="5" width="12.7109375" style="83" bestFit="1" customWidth="1"/>
    <col min="6" max="6" width="14.28515625" style="83" customWidth="1"/>
    <col min="7" max="7" width="20.140625" style="83" bestFit="1" customWidth="1"/>
    <col min="8" max="8" width="14.7109375" style="83" bestFit="1" customWidth="1"/>
    <col min="9" max="9" width="24.5703125" style="83" bestFit="1" customWidth="1"/>
    <col min="10" max="10" width="14.7109375" style="83" customWidth="1"/>
    <col min="11" max="11" width="20.5703125" style="83" bestFit="1" customWidth="1"/>
    <col min="12" max="13" width="20.5703125" style="83" customWidth="1"/>
    <col min="14" max="14" width="21.85546875" style="83" bestFit="1" customWidth="1"/>
    <col min="15" max="15" width="21.7109375" style="83" bestFit="1" customWidth="1"/>
    <col min="16" max="16" width="9.140625" style="83"/>
    <col min="17" max="17" width="16.42578125" style="83" bestFit="1" customWidth="1"/>
    <col min="18" max="16384" width="9.140625" style="83"/>
  </cols>
  <sheetData>
    <row r="1" spans="1:17" x14ac:dyDescent="0.3">
      <c r="A1" s="89" t="s">
        <v>111</v>
      </c>
    </row>
    <row r="2" spans="1:17" s="79" customFormat="1" x14ac:dyDescent="0.3">
      <c r="A2" s="78" t="s">
        <v>99</v>
      </c>
      <c r="B2" s="78" t="s">
        <v>95</v>
      </c>
      <c r="C2" s="78" t="s">
        <v>96</v>
      </c>
      <c r="D2" s="78" t="s">
        <v>97</v>
      </c>
      <c r="E2" s="78" t="s">
        <v>100</v>
      </c>
      <c r="F2" s="78"/>
      <c r="G2" s="78" t="s">
        <v>72</v>
      </c>
      <c r="H2" s="78" t="s">
        <v>108</v>
      </c>
      <c r="I2" s="78" t="s">
        <v>112</v>
      </c>
      <c r="J2" s="78"/>
      <c r="K2" s="78" t="s">
        <v>109</v>
      </c>
      <c r="L2" s="78" t="s">
        <v>113</v>
      </c>
      <c r="M2" s="78"/>
      <c r="N2" s="78" t="s">
        <v>107</v>
      </c>
      <c r="O2" s="78" t="s">
        <v>1</v>
      </c>
    </row>
    <row r="3" spans="1:17" x14ac:dyDescent="0.3">
      <c r="A3" s="80" t="s">
        <v>106</v>
      </c>
      <c r="B3" s="81">
        <v>101</v>
      </c>
      <c r="C3" s="81" t="s">
        <v>101</v>
      </c>
      <c r="D3" s="82">
        <v>10395000</v>
      </c>
      <c r="E3" s="82">
        <f>30.66*10.764</f>
        <v>330.02423999999996</v>
      </c>
      <c r="F3" s="82">
        <f>D3/E3</f>
        <v>31497.686351766166</v>
      </c>
      <c r="G3" s="82">
        <f>33.72*10.764</f>
        <v>362.96207999999996</v>
      </c>
      <c r="H3" s="87">
        <v>37500</v>
      </c>
      <c r="I3" s="91">
        <f>E3*H3</f>
        <v>12375908.999999998</v>
      </c>
      <c r="J3" s="87"/>
      <c r="K3" s="82">
        <v>3000</v>
      </c>
      <c r="L3" s="82">
        <f>K3*E3</f>
        <v>990072.71999999986</v>
      </c>
      <c r="M3" s="82"/>
      <c r="N3" s="82">
        <f t="shared" ref="N3:N10" si="0">H3+K3</f>
        <v>40500</v>
      </c>
      <c r="O3" s="82">
        <f t="shared" ref="O3:O10" si="1">E3*N3</f>
        <v>13365981.719999999</v>
      </c>
      <c r="P3" s="83">
        <f t="shared" ref="P3:P10" si="2">O3/D3</f>
        <v>1.2858087272727272</v>
      </c>
    </row>
    <row r="4" spans="1:17" x14ac:dyDescent="0.3">
      <c r="A4" s="80" t="s">
        <v>102</v>
      </c>
      <c r="B4" s="81">
        <v>102</v>
      </c>
      <c r="C4" s="81" t="s">
        <v>101</v>
      </c>
      <c r="D4" s="82">
        <v>18270000</v>
      </c>
      <c r="E4" s="82">
        <f>53.9*10.764</f>
        <v>580.17959999999994</v>
      </c>
      <c r="F4" s="82">
        <f t="shared" ref="F4:F10" si="3">D4/E4</f>
        <v>31490.248881553234</v>
      </c>
      <c r="G4" s="82">
        <f>59.29*10.764</f>
        <v>638.19755999999995</v>
      </c>
      <c r="H4" s="87">
        <v>37500</v>
      </c>
      <c r="I4" s="91">
        <f t="shared" ref="I4:I10" si="4">E4*H4</f>
        <v>21756734.999999996</v>
      </c>
      <c r="J4" s="87"/>
      <c r="K4" s="82">
        <v>3000</v>
      </c>
      <c r="L4" s="82">
        <f t="shared" ref="L4:L10" si="5">K4*E4</f>
        <v>1740538.7999999998</v>
      </c>
      <c r="M4" s="82"/>
      <c r="N4" s="82">
        <f t="shared" si="0"/>
        <v>40500</v>
      </c>
      <c r="O4" s="82">
        <f t="shared" si="1"/>
        <v>23497273.799999997</v>
      </c>
      <c r="P4" s="83">
        <f t="shared" si="2"/>
        <v>1.2861124137931033</v>
      </c>
    </row>
    <row r="5" spans="1:17" x14ac:dyDescent="0.3">
      <c r="A5" s="80" t="s">
        <v>102</v>
      </c>
      <c r="B5" s="81">
        <v>103</v>
      </c>
      <c r="C5" s="81" t="s">
        <v>101</v>
      </c>
      <c r="D5" s="82">
        <v>18270000</v>
      </c>
      <c r="E5" s="82">
        <f>53.9*10.764</f>
        <v>580.17959999999994</v>
      </c>
      <c r="F5" s="82">
        <f t="shared" si="3"/>
        <v>31490.248881553234</v>
      </c>
      <c r="G5" s="82">
        <f>59.29*10.764</f>
        <v>638.19755999999995</v>
      </c>
      <c r="H5" s="82">
        <v>43000</v>
      </c>
      <c r="I5" s="91">
        <f t="shared" si="4"/>
        <v>24947722.799999997</v>
      </c>
      <c r="J5" s="82"/>
      <c r="K5" s="82">
        <v>3000</v>
      </c>
      <c r="L5" s="82">
        <f t="shared" si="5"/>
        <v>1740538.7999999998</v>
      </c>
      <c r="M5" s="82"/>
      <c r="N5" s="82">
        <f t="shared" si="0"/>
        <v>46000</v>
      </c>
      <c r="O5" s="82">
        <f t="shared" si="1"/>
        <v>26688261.599999998</v>
      </c>
      <c r="P5" s="83">
        <f t="shared" si="2"/>
        <v>1.4607696551724136</v>
      </c>
    </row>
    <row r="6" spans="1:17" x14ac:dyDescent="0.3">
      <c r="A6" s="80" t="s">
        <v>104</v>
      </c>
      <c r="B6" s="81">
        <v>104</v>
      </c>
      <c r="C6" s="81" t="s">
        <v>103</v>
      </c>
      <c r="D6" s="82">
        <v>14175000</v>
      </c>
      <c r="E6" s="82">
        <f>41.81*10.764</f>
        <v>450.04284000000001</v>
      </c>
      <c r="F6" s="82">
        <f t="shared" si="3"/>
        <v>31497.001485458582</v>
      </c>
      <c r="G6" s="82">
        <f>45.99*10.764</f>
        <v>495.03636</v>
      </c>
      <c r="H6" s="82">
        <v>43000</v>
      </c>
      <c r="I6" s="91">
        <f t="shared" si="4"/>
        <v>19351842.120000001</v>
      </c>
      <c r="J6" s="82"/>
      <c r="K6" s="82">
        <v>3000</v>
      </c>
      <c r="L6" s="82">
        <f t="shared" si="5"/>
        <v>1350128.52</v>
      </c>
      <c r="M6" s="82"/>
      <c r="N6" s="82">
        <f t="shared" si="0"/>
        <v>46000</v>
      </c>
      <c r="O6" s="82">
        <f t="shared" si="1"/>
        <v>20701970.640000001</v>
      </c>
      <c r="P6" s="83">
        <f t="shared" si="2"/>
        <v>1.4604564825396826</v>
      </c>
    </row>
    <row r="7" spans="1:17" x14ac:dyDescent="0.3">
      <c r="A7" s="80" t="s">
        <v>105</v>
      </c>
      <c r="B7" s="81">
        <v>105</v>
      </c>
      <c r="C7" s="81" t="s">
        <v>103</v>
      </c>
      <c r="D7" s="82">
        <v>9733500</v>
      </c>
      <c r="E7" s="82">
        <f>28.71*10.764</f>
        <v>309.03444000000002</v>
      </c>
      <c r="F7" s="82">
        <f t="shared" si="3"/>
        <v>31496.489517479022</v>
      </c>
      <c r="G7" s="82">
        <f>31.58*10.764</f>
        <v>339.92711999999995</v>
      </c>
      <c r="H7" s="82">
        <v>43000</v>
      </c>
      <c r="I7" s="91">
        <f t="shared" si="4"/>
        <v>13288480.92</v>
      </c>
      <c r="J7" s="82"/>
      <c r="K7" s="82">
        <v>3000</v>
      </c>
      <c r="L7" s="82">
        <f t="shared" si="5"/>
        <v>927103.32000000007</v>
      </c>
      <c r="M7" s="82"/>
      <c r="N7" s="82">
        <f t="shared" si="0"/>
        <v>46000</v>
      </c>
      <c r="O7" s="82">
        <f t="shared" si="1"/>
        <v>14215584.24</v>
      </c>
      <c r="P7" s="83">
        <f t="shared" si="2"/>
        <v>1.4604802219140083</v>
      </c>
    </row>
    <row r="8" spans="1:17" x14ac:dyDescent="0.3">
      <c r="A8" s="80" t="s">
        <v>104</v>
      </c>
      <c r="B8" s="81">
        <v>106</v>
      </c>
      <c r="C8" s="81" t="s">
        <v>103</v>
      </c>
      <c r="D8" s="82">
        <v>18270000</v>
      </c>
      <c r="E8" s="82">
        <f>53.88*10.764</f>
        <v>579.96432000000004</v>
      </c>
      <c r="F8" s="82">
        <f t="shared" si="3"/>
        <v>31501.937912318466</v>
      </c>
      <c r="G8" s="82">
        <f>59.27*10.764</f>
        <v>637.98227999999995</v>
      </c>
      <c r="H8" s="82">
        <v>43000</v>
      </c>
      <c r="I8" s="91">
        <f t="shared" si="4"/>
        <v>24938465.760000002</v>
      </c>
      <c r="J8" s="82"/>
      <c r="K8" s="82">
        <v>3000</v>
      </c>
      <c r="L8" s="82">
        <f t="shared" si="5"/>
        <v>1739892.9600000002</v>
      </c>
      <c r="M8" s="82"/>
      <c r="N8" s="82">
        <f t="shared" si="0"/>
        <v>46000</v>
      </c>
      <c r="O8" s="82">
        <f t="shared" si="1"/>
        <v>26678358.720000003</v>
      </c>
      <c r="P8" s="83">
        <f t="shared" si="2"/>
        <v>1.4602276256157636</v>
      </c>
    </row>
    <row r="9" spans="1:17" x14ac:dyDescent="0.3">
      <c r="A9" s="80" t="s">
        <v>104</v>
      </c>
      <c r="B9" s="81">
        <v>107</v>
      </c>
      <c r="C9" s="81" t="s">
        <v>103</v>
      </c>
      <c r="D9" s="82">
        <v>18270000</v>
      </c>
      <c r="E9" s="82">
        <f>53.88*10.764</f>
        <v>579.96432000000004</v>
      </c>
      <c r="F9" s="82">
        <f t="shared" si="3"/>
        <v>31501.937912318466</v>
      </c>
      <c r="G9" s="82">
        <f>59.27*10.764</f>
        <v>637.98227999999995</v>
      </c>
      <c r="H9" s="82">
        <v>43000</v>
      </c>
      <c r="I9" s="91">
        <f t="shared" si="4"/>
        <v>24938465.760000002</v>
      </c>
      <c r="J9" s="82"/>
      <c r="K9" s="82">
        <v>3000</v>
      </c>
      <c r="L9" s="82">
        <f t="shared" si="5"/>
        <v>1739892.9600000002</v>
      </c>
      <c r="M9" s="82"/>
      <c r="N9" s="82">
        <f t="shared" si="0"/>
        <v>46000</v>
      </c>
      <c r="O9" s="82">
        <f t="shared" si="1"/>
        <v>26678358.720000003</v>
      </c>
      <c r="P9" s="83">
        <f t="shared" si="2"/>
        <v>1.4602276256157636</v>
      </c>
    </row>
    <row r="10" spans="1:17" x14ac:dyDescent="0.3">
      <c r="A10" s="80" t="s">
        <v>106</v>
      </c>
      <c r="B10" s="81">
        <v>108</v>
      </c>
      <c r="C10" s="81" t="s">
        <v>101</v>
      </c>
      <c r="D10" s="82">
        <v>10395000</v>
      </c>
      <c r="E10" s="82">
        <f>30.66*10.764</f>
        <v>330.02423999999996</v>
      </c>
      <c r="F10" s="82">
        <f t="shared" si="3"/>
        <v>31497.686351766166</v>
      </c>
      <c r="G10" s="82">
        <f>33.72*10.764</f>
        <v>362.96207999999996</v>
      </c>
      <c r="H10" s="87">
        <v>37500</v>
      </c>
      <c r="I10" s="91">
        <f t="shared" si="4"/>
        <v>12375908.999999998</v>
      </c>
      <c r="J10" s="87"/>
      <c r="K10" s="82">
        <v>3000</v>
      </c>
      <c r="L10" s="82">
        <f t="shared" si="5"/>
        <v>990072.71999999986</v>
      </c>
      <c r="M10" s="82"/>
      <c r="N10" s="82">
        <f t="shared" si="0"/>
        <v>40500</v>
      </c>
      <c r="O10" s="82">
        <f t="shared" si="1"/>
        <v>13365981.719999999</v>
      </c>
      <c r="P10" s="83">
        <f t="shared" si="2"/>
        <v>1.2858087272727272</v>
      </c>
    </row>
    <row r="11" spans="1:17" x14ac:dyDescent="0.3">
      <c r="A11" s="80"/>
      <c r="B11" s="81"/>
      <c r="C11" s="81"/>
      <c r="D11" s="82"/>
      <c r="E11" s="90">
        <f>SUM(E3:E10)</f>
        <v>3739.4135999999999</v>
      </c>
      <c r="F11" s="90"/>
      <c r="G11" s="90">
        <f>SUM(G3:G10)</f>
        <v>4113.2473200000004</v>
      </c>
      <c r="H11" s="90"/>
      <c r="I11" s="92">
        <f>SUM(I3:I10)</f>
        <v>153973530.35999998</v>
      </c>
      <c r="J11" s="90"/>
      <c r="K11" s="90"/>
      <c r="L11" s="90">
        <f>SUM(L3:L10)</f>
        <v>11218240.800000003</v>
      </c>
      <c r="M11" s="90"/>
      <c r="N11" s="90"/>
      <c r="O11" s="90">
        <f>SUM(O3:O10)</f>
        <v>165191771.16</v>
      </c>
      <c r="Q11" s="88" t="e">
        <f>O11-#REF!</f>
        <v>#REF!</v>
      </c>
    </row>
    <row r="12" spans="1:17" x14ac:dyDescent="0.3">
      <c r="A12" s="80"/>
      <c r="B12" s="81"/>
      <c r="C12" s="81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</row>
    <row r="13" spans="1:17" x14ac:dyDescent="0.3">
      <c r="A13" s="80" t="s">
        <v>102</v>
      </c>
      <c r="B13" s="81">
        <v>203</v>
      </c>
      <c r="C13" s="81" t="s">
        <v>101</v>
      </c>
      <c r="D13" s="82">
        <v>18270000</v>
      </c>
      <c r="E13" s="87">
        <f>53.9*10.764</f>
        <v>580.17959999999994</v>
      </c>
      <c r="F13" s="87">
        <f>D13/E13</f>
        <v>31490.248881553234</v>
      </c>
      <c r="G13" s="87">
        <f>59.29*10.764</f>
        <v>638.19755999999995</v>
      </c>
      <c r="H13" s="87"/>
      <c r="I13" s="87"/>
      <c r="J13" s="87"/>
      <c r="K13" s="87"/>
      <c r="L13" s="87"/>
      <c r="M13" s="87"/>
      <c r="N13" s="87">
        <v>37500</v>
      </c>
      <c r="O13" s="87">
        <f>E13*N13</f>
        <v>21756734.999999996</v>
      </c>
      <c r="P13" s="83">
        <f>O13/D13</f>
        <v>1.1908448275862067</v>
      </c>
    </row>
    <row r="14" spans="1:17" s="86" customFormat="1" x14ac:dyDescent="0.3">
      <c r="A14" s="84"/>
      <c r="B14" s="84"/>
      <c r="C14" s="84"/>
      <c r="D14" s="85">
        <f>SUM(D3:D13)</f>
        <v>136048500</v>
      </c>
      <c r="E14" s="85">
        <f>E13+E11</f>
        <v>4319.5931999999993</v>
      </c>
      <c r="F14" s="85"/>
      <c r="G14" s="85">
        <f>G13+G11</f>
        <v>4751.44488</v>
      </c>
      <c r="H14" s="85"/>
      <c r="I14" s="85"/>
      <c r="J14" s="85"/>
      <c r="K14" s="85"/>
      <c r="L14" s="85"/>
      <c r="M14" s="85"/>
      <c r="N14" s="85" t="s">
        <v>110</v>
      </c>
      <c r="O14" s="85">
        <f>O11+O13</f>
        <v>186948506.16</v>
      </c>
    </row>
    <row r="16" spans="1:17" x14ac:dyDescent="0.3">
      <c r="G16" s="88">
        <f>G11*3000</f>
        <v>12339741.960000001</v>
      </c>
      <c r="O16" s="88">
        <f>O11*0.03/12</f>
        <v>412979.42790000001</v>
      </c>
    </row>
    <row r="18" spans="1:15" ht="20.25" thickBot="1" x14ac:dyDescent="0.35">
      <c r="F18" s="83">
        <v>37500</v>
      </c>
      <c r="G18" s="83">
        <v>43000</v>
      </c>
    </row>
    <row r="19" spans="1:15" ht="20.25" thickBot="1" x14ac:dyDescent="0.35">
      <c r="A19" s="93">
        <v>990073</v>
      </c>
      <c r="F19" s="83">
        <v>3000</v>
      </c>
      <c r="G19" s="83">
        <v>3000</v>
      </c>
    </row>
    <row r="20" spans="1:15" ht="20.25" thickBot="1" x14ac:dyDescent="0.35">
      <c r="A20" s="94">
        <v>1740539</v>
      </c>
      <c r="F20" s="83">
        <f>F18-F19</f>
        <v>34500</v>
      </c>
      <c r="G20" s="83">
        <f>G18-G19</f>
        <v>40000</v>
      </c>
      <c r="O20" s="88">
        <f>O13*0.03/12</f>
        <v>54391.837499999987</v>
      </c>
    </row>
    <row r="21" spans="1:15" ht="20.25" thickBot="1" x14ac:dyDescent="0.35">
      <c r="A21" s="94">
        <v>1740539</v>
      </c>
    </row>
    <row r="22" spans="1:15" ht="20.25" thickBot="1" x14ac:dyDescent="0.35">
      <c r="A22" s="94">
        <v>1350129</v>
      </c>
      <c r="D22" s="83" t="s">
        <v>114</v>
      </c>
      <c r="G22" s="83">
        <v>213.21</v>
      </c>
    </row>
    <row r="23" spans="1:15" ht="20.25" thickBot="1" x14ac:dyDescent="0.35">
      <c r="A23" s="94">
        <v>927103</v>
      </c>
      <c r="D23" s="83" t="s">
        <v>59</v>
      </c>
      <c r="E23" s="83">
        <v>29931616</v>
      </c>
      <c r="G23" s="83">
        <v>159.52000000000001</v>
      </c>
    </row>
    <row r="24" spans="1:15" ht="20.25" thickBot="1" x14ac:dyDescent="0.35">
      <c r="A24" s="94">
        <v>1739893</v>
      </c>
      <c r="D24" s="83" t="s">
        <v>115</v>
      </c>
      <c r="E24" s="83">
        <v>69399000</v>
      </c>
      <c r="G24" s="83">
        <f>G22+G23</f>
        <v>372.73</v>
      </c>
    </row>
    <row r="25" spans="1:15" ht="20.25" thickBot="1" x14ac:dyDescent="0.35">
      <c r="A25" s="94">
        <v>1739893</v>
      </c>
      <c r="D25" s="86" t="s">
        <v>116</v>
      </c>
      <c r="E25" s="86">
        <f>SUM(E23:E24)</f>
        <v>99330616</v>
      </c>
      <c r="G25" s="83">
        <f>G24*10.764</f>
        <v>4012.0657200000001</v>
      </c>
    </row>
    <row r="26" spans="1:15" ht="20.25" thickBot="1" x14ac:dyDescent="0.35">
      <c r="A26" s="94">
        <v>990073</v>
      </c>
    </row>
    <row r="27" spans="1:15" x14ac:dyDescent="0.3">
      <c r="A27" s="95">
        <f>SUM(A19:A26)</f>
        <v>11218242</v>
      </c>
    </row>
    <row r="33" spans="4:5" x14ac:dyDescent="0.3">
      <c r="D33" s="86"/>
      <c r="E33" s="8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5"/>
  <sheetViews>
    <sheetView topLeftCell="A4" workbookViewId="0">
      <selection activeCell="I31" sqref="I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330.02423999999996</v>
      </c>
      <c r="C2" s="4">
        <f t="shared" ref="C2:C16" si="1">B2*1.2</f>
        <v>396.02908799999994</v>
      </c>
      <c r="D2" s="4">
        <f t="shared" ref="D2:D16" si="2">C2*1.2</f>
        <v>475.23490559999993</v>
      </c>
      <c r="E2" s="5">
        <f t="shared" ref="E2:E16" si="3">R2</f>
        <v>10300000</v>
      </c>
      <c r="F2" s="4">
        <f t="shared" ref="F2:F15" si="4">ROUND((E2/B2),0)</f>
        <v>31210</v>
      </c>
      <c r="G2" s="4">
        <f t="shared" ref="G2:G15" si="5">ROUND((E2/C2),0)</f>
        <v>26008</v>
      </c>
      <c r="H2" s="4">
        <f t="shared" ref="H2:H15" si="6">ROUND((E2/D2),0)</f>
        <v>21673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30.66*10.764</f>
        <v>330.02423999999996</v>
      </c>
      <c r="R2" s="2">
        <v>10300000</v>
      </c>
      <c r="S2" s="2" t="s">
        <v>92</v>
      </c>
    </row>
    <row r="3" spans="1:19" x14ac:dyDescent="0.25">
      <c r="A3" s="4">
        <v>2</v>
      </c>
      <c r="B3" s="4">
        <f t="shared" si="0"/>
        <v>558.83100000000002</v>
      </c>
      <c r="C3" s="4">
        <f t="shared" si="1"/>
        <v>670.59720000000004</v>
      </c>
      <c r="D3" s="4">
        <f t="shared" si="2"/>
        <v>804.71663999999998</v>
      </c>
      <c r="E3" s="5">
        <f t="shared" si="3"/>
        <v>17100000</v>
      </c>
      <c r="F3" s="4">
        <f t="shared" si="4"/>
        <v>30600</v>
      </c>
      <c r="G3" s="4">
        <f t="shared" si="5"/>
        <v>25500</v>
      </c>
      <c r="H3" s="4">
        <f t="shared" si="6"/>
        <v>21250</v>
      </c>
      <c r="I3" s="4">
        <f t="shared" si="7"/>
        <v>0</v>
      </c>
      <c r="J3" s="4">
        <f t="shared" si="8"/>
        <v>0</v>
      </c>
      <c r="O3">
        <v>0</v>
      </c>
      <c r="P3">
        <f>62.3*10.764</f>
        <v>670.59719999999993</v>
      </c>
      <c r="Q3">
        <f t="shared" ref="Q3:Q7" si="10">P3/1.2</f>
        <v>558.83100000000002</v>
      </c>
      <c r="R3" s="2">
        <v>17100000</v>
      </c>
      <c r="S3" s="2" t="s">
        <v>93</v>
      </c>
    </row>
    <row r="4" spans="1:19" x14ac:dyDescent="0.25">
      <c r="A4" s="4">
        <v>3</v>
      </c>
      <c r="B4" s="4">
        <f t="shared" si="0"/>
        <v>664.99991999999997</v>
      </c>
      <c r="C4" s="4">
        <f t="shared" si="1"/>
        <v>797.9999039999999</v>
      </c>
      <c r="D4" s="4">
        <f t="shared" si="2"/>
        <v>957.59988479999981</v>
      </c>
      <c r="E4" s="5">
        <f t="shared" si="3"/>
        <v>19579000</v>
      </c>
      <c r="F4" s="4">
        <f t="shared" si="4"/>
        <v>29442</v>
      </c>
      <c r="G4" s="4">
        <f t="shared" si="5"/>
        <v>24535</v>
      </c>
      <c r="H4" s="4">
        <f t="shared" si="6"/>
        <v>20446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61.78*10.764</f>
        <v>664.99991999999997</v>
      </c>
      <c r="R4" s="2">
        <v>19579000</v>
      </c>
      <c r="S4" s="2" t="s">
        <v>94</v>
      </c>
    </row>
    <row r="5" spans="1:19" x14ac:dyDescent="0.25">
      <c r="A5" s="4">
        <v>4</v>
      </c>
      <c r="B5" s="4">
        <f t="shared" si="0"/>
        <v>1050</v>
      </c>
      <c r="C5" s="4">
        <f t="shared" si="1"/>
        <v>1260</v>
      </c>
      <c r="D5" s="4">
        <f t="shared" si="2"/>
        <v>1512</v>
      </c>
      <c r="E5" s="5">
        <f t="shared" si="3"/>
        <v>47500000</v>
      </c>
      <c r="F5" s="96">
        <f t="shared" si="4"/>
        <v>45238</v>
      </c>
      <c r="G5" s="96">
        <f t="shared" si="5"/>
        <v>37698</v>
      </c>
      <c r="H5" s="96">
        <f t="shared" si="6"/>
        <v>31415</v>
      </c>
      <c r="I5" s="96">
        <f t="shared" si="7"/>
        <v>0</v>
      </c>
      <c r="J5" s="9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1050</v>
      </c>
      <c r="R5" s="97">
        <v>47500000</v>
      </c>
      <c r="S5" s="2"/>
    </row>
    <row r="6" spans="1:19" x14ac:dyDescent="0.25">
      <c r="A6" s="4">
        <v>5</v>
      </c>
      <c r="B6" s="4">
        <f t="shared" si="0"/>
        <v>941.66666666666674</v>
      </c>
      <c r="C6" s="4">
        <f t="shared" si="1"/>
        <v>1130</v>
      </c>
      <c r="D6" s="4">
        <f t="shared" si="2"/>
        <v>1356</v>
      </c>
      <c r="E6" s="5">
        <f t="shared" si="3"/>
        <v>45000000</v>
      </c>
      <c r="F6" s="96">
        <f t="shared" si="4"/>
        <v>47788</v>
      </c>
      <c r="G6" s="96">
        <f t="shared" si="5"/>
        <v>39823</v>
      </c>
      <c r="H6" s="96">
        <f t="shared" si="6"/>
        <v>33186</v>
      </c>
      <c r="I6" s="96">
        <f t="shared" si="7"/>
        <v>0</v>
      </c>
      <c r="J6" s="96">
        <f t="shared" si="8"/>
        <v>0</v>
      </c>
      <c r="K6" s="7"/>
      <c r="L6" s="7"/>
      <c r="M6" s="7"/>
      <c r="N6" s="7"/>
      <c r="O6" s="7">
        <v>0</v>
      </c>
      <c r="P6" s="7">
        <v>1130</v>
      </c>
      <c r="Q6" s="7">
        <f t="shared" si="10"/>
        <v>941.66666666666674</v>
      </c>
      <c r="R6" s="97">
        <v>45000000</v>
      </c>
      <c r="S6" s="2"/>
    </row>
    <row r="7" spans="1:19" x14ac:dyDescent="0.25">
      <c r="A7" s="4">
        <v>6</v>
      </c>
      <c r="B7" s="4">
        <f t="shared" si="0"/>
        <v>636.66666666666674</v>
      </c>
      <c r="C7" s="4">
        <f t="shared" si="1"/>
        <v>764.00000000000011</v>
      </c>
      <c r="D7" s="4">
        <f t="shared" si="2"/>
        <v>916.80000000000007</v>
      </c>
      <c r="E7" s="5">
        <f t="shared" si="3"/>
        <v>26900000</v>
      </c>
      <c r="F7" s="96">
        <f t="shared" si="4"/>
        <v>42251</v>
      </c>
      <c r="G7" s="96">
        <f t="shared" si="5"/>
        <v>35209</v>
      </c>
      <c r="H7" s="96">
        <f t="shared" si="6"/>
        <v>29341</v>
      </c>
      <c r="I7" s="96">
        <f t="shared" si="7"/>
        <v>0</v>
      </c>
      <c r="J7" s="96">
        <f t="shared" si="8"/>
        <v>0</v>
      </c>
      <c r="K7" s="7"/>
      <c r="L7" s="7"/>
      <c r="M7" s="7"/>
      <c r="N7" s="7"/>
      <c r="O7" s="7">
        <v>0</v>
      </c>
      <c r="P7" s="7">
        <v>764</v>
      </c>
      <c r="Q7" s="7">
        <f t="shared" si="10"/>
        <v>636.66666666666674</v>
      </c>
      <c r="R7" s="97">
        <v>26900000</v>
      </c>
      <c r="S7" s="2"/>
    </row>
    <row r="8" spans="1:19" x14ac:dyDescent="0.25">
      <c r="A8" s="4">
        <v>7</v>
      </c>
      <c r="B8" s="4">
        <f t="shared" si="0"/>
        <v>1100</v>
      </c>
      <c r="C8" s="4">
        <f t="shared" si="1"/>
        <v>1320</v>
      </c>
      <c r="D8" s="4">
        <f t="shared" si="2"/>
        <v>1584</v>
      </c>
      <c r="E8" s="5">
        <f t="shared" si="3"/>
        <v>45000000</v>
      </c>
      <c r="F8" s="4">
        <f t="shared" si="4"/>
        <v>40909</v>
      </c>
      <c r="G8" s="4">
        <f t="shared" si="5"/>
        <v>34091</v>
      </c>
      <c r="H8" s="4">
        <f t="shared" si="6"/>
        <v>28409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1100</v>
      </c>
      <c r="R8" s="2">
        <v>45000000</v>
      </c>
      <c r="S8" s="2"/>
    </row>
    <row r="9" spans="1:19" x14ac:dyDescent="0.25">
      <c r="A9" s="4">
        <v>8</v>
      </c>
      <c r="B9" s="4">
        <f t="shared" si="0"/>
        <v>665</v>
      </c>
      <c r="C9" s="4">
        <f t="shared" si="1"/>
        <v>798</v>
      </c>
      <c r="D9" s="4">
        <f t="shared" si="2"/>
        <v>957.59999999999991</v>
      </c>
      <c r="E9" s="5">
        <f t="shared" si="3"/>
        <v>27900000</v>
      </c>
      <c r="F9" s="96">
        <f t="shared" si="4"/>
        <v>41955</v>
      </c>
      <c r="G9" s="96">
        <f t="shared" si="5"/>
        <v>34962</v>
      </c>
      <c r="H9" s="96">
        <f t="shared" si="6"/>
        <v>29135</v>
      </c>
      <c r="I9" s="96">
        <f t="shared" si="7"/>
        <v>0</v>
      </c>
      <c r="J9" s="96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665</v>
      </c>
      <c r="R9" s="97">
        <v>27900000</v>
      </c>
      <c r="S9" s="97" t="s">
        <v>59</v>
      </c>
    </row>
    <row r="10" spans="1:19" x14ac:dyDescent="0.25">
      <c r="A10" s="4">
        <v>9</v>
      </c>
      <c r="B10" s="4">
        <f t="shared" si="0"/>
        <v>585</v>
      </c>
      <c r="C10" s="4">
        <f t="shared" si="1"/>
        <v>702</v>
      </c>
      <c r="D10" s="4">
        <f t="shared" si="2"/>
        <v>842.4</v>
      </c>
      <c r="E10" s="5">
        <f t="shared" si="3"/>
        <v>21000000</v>
      </c>
      <c r="F10" s="96">
        <f t="shared" si="4"/>
        <v>35897</v>
      </c>
      <c r="G10" s="96">
        <f t="shared" si="5"/>
        <v>29915</v>
      </c>
      <c r="H10" s="96">
        <f t="shared" si="6"/>
        <v>24929</v>
      </c>
      <c r="I10" s="96">
        <f t="shared" si="7"/>
        <v>0</v>
      </c>
      <c r="J10" s="96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585</v>
      </c>
      <c r="R10" s="97">
        <v>21000000</v>
      </c>
      <c r="S10" s="97" t="s">
        <v>59</v>
      </c>
    </row>
    <row r="11" spans="1:19" x14ac:dyDescent="0.25">
      <c r="A11" s="4">
        <v>10</v>
      </c>
      <c r="B11" s="4">
        <f t="shared" si="0"/>
        <v>665</v>
      </c>
      <c r="C11" s="4">
        <f t="shared" si="1"/>
        <v>798</v>
      </c>
      <c r="D11" s="4">
        <f t="shared" si="2"/>
        <v>957.59999999999991</v>
      </c>
      <c r="E11" s="5">
        <f t="shared" si="3"/>
        <v>25000000</v>
      </c>
      <c r="F11" s="96">
        <f t="shared" si="4"/>
        <v>37594</v>
      </c>
      <c r="G11" s="96">
        <f t="shared" si="5"/>
        <v>31328</v>
      </c>
      <c r="H11" s="96">
        <f t="shared" si="6"/>
        <v>26107</v>
      </c>
      <c r="I11" s="96">
        <f t="shared" si="7"/>
        <v>0</v>
      </c>
      <c r="J11" s="96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665</v>
      </c>
      <c r="R11" s="97">
        <v>25000000</v>
      </c>
      <c r="S11" s="97" t="s">
        <v>59</v>
      </c>
    </row>
    <row r="12" spans="1:19" x14ac:dyDescent="0.25">
      <c r="A12" s="4">
        <v>11</v>
      </c>
      <c r="B12" s="4">
        <f t="shared" si="0"/>
        <v>580</v>
      </c>
      <c r="C12" s="4">
        <f t="shared" si="1"/>
        <v>696</v>
      </c>
      <c r="D12" s="4">
        <f t="shared" si="2"/>
        <v>835.19999999999993</v>
      </c>
      <c r="E12" s="5">
        <f t="shared" si="3"/>
        <v>22800000</v>
      </c>
      <c r="F12" s="96">
        <f t="shared" si="4"/>
        <v>39310</v>
      </c>
      <c r="G12" s="96">
        <f t="shared" si="5"/>
        <v>32759</v>
      </c>
      <c r="H12" s="96">
        <f t="shared" si="6"/>
        <v>27299</v>
      </c>
      <c r="I12" s="96">
        <f t="shared" si="7"/>
        <v>0</v>
      </c>
      <c r="J12" s="96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580</v>
      </c>
      <c r="R12" s="97">
        <v>22800000</v>
      </c>
      <c r="S12" s="97" t="s">
        <v>59</v>
      </c>
    </row>
    <row r="13" spans="1:19" x14ac:dyDescent="0.25">
      <c r="A13" s="4">
        <v>12</v>
      </c>
      <c r="B13" s="4">
        <f t="shared" si="0"/>
        <v>1113.43</v>
      </c>
      <c r="C13" s="4">
        <f t="shared" si="1"/>
        <v>1336.116</v>
      </c>
      <c r="D13" s="4">
        <f t="shared" si="2"/>
        <v>1603.3391999999999</v>
      </c>
      <c r="E13" s="5">
        <f t="shared" si="3"/>
        <v>55602625</v>
      </c>
      <c r="F13" s="4">
        <f t="shared" si="4"/>
        <v>49938</v>
      </c>
      <c r="G13" s="4">
        <f t="shared" si="5"/>
        <v>41615</v>
      </c>
      <c r="H13" s="4">
        <f t="shared" si="6"/>
        <v>34679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v>1113.43</v>
      </c>
      <c r="R13" s="2">
        <v>55602625</v>
      </c>
      <c r="S13" s="2" t="s">
        <v>117</v>
      </c>
    </row>
    <row r="14" spans="1:19" x14ac:dyDescent="0.25">
      <c r="A14" s="4">
        <v>13</v>
      </c>
      <c r="B14" s="4">
        <f t="shared" si="0"/>
        <v>1203</v>
      </c>
      <c r="C14" s="4">
        <f t="shared" si="1"/>
        <v>1443.6</v>
      </c>
      <c r="D14" s="4">
        <f t="shared" si="2"/>
        <v>1732.32</v>
      </c>
      <c r="E14" s="5">
        <f t="shared" si="3"/>
        <v>59355375</v>
      </c>
      <c r="F14" s="4">
        <f t="shared" si="4"/>
        <v>49339</v>
      </c>
      <c r="G14" s="4">
        <f t="shared" si="5"/>
        <v>41116</v>
      </c>
      <c r="H14" s="4">
        <f t="shared" si="6"/>
        <v>34264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1203</v>
      </c>
      <c r="R14" s="2">
        <v>59355375</v>
      </c>
      <c r="S14" s="2" t="s">
        <v>117</v>
      </c>
    </row>
    <row r="15" spans="1:19" x14ac:dyDescent="0.25">
      <c r="A15" s="4">
        <v>14</v>
      </c>
      <c r="B15" s="4">
        <f t="shared" si="0"/>
        <v>3497</v>
      </c>
      <c r="C15" s="4">
        <f t="shared" si="1"/>
        <v>4196.3999999999996</v>
      </c>
      <c r="D15" s="4">
        <f t="shared" si="2"/>
        <v>5035.6799999999994</v>
      </c>
      <c r="E15" s="5">
        <f t="shared" si="3"/>
        <v>257500000</v>
      </c>
      <c r="F15" s="4">
        <f t="shared" si="4"/>
        <v>73635</v>
      </c>
      <c r="G15" s="4">
        <f t="shared" si="5"/>
        <v>61362</v>
      </c>
      <c r="H15" s="4">
        <f t="shared" si="6"/>
        <v>51135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v>3497</v>
      </c>
      <c r="R15" s="2">
        <v>257500000</v>
      </c>
      <c r="S15" s="2" t="s">
        <v>118</v>
      </c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/>
      <c r="H29" s="10" t="e">
        <f>G29/G28</f>
        <v>#DIV/0!</v>
      </c>
    </row>
    <row r="30" spans="1:19" s="10" customFormat="1" x14ac:dyDescent="0.25">
      <c r="F30" s="57" t="s">
        <v>73</v>
      </c>
      <c r="G30" s="57"/>
    </row>
    <row r="31" spans="1:19" s="10" customFormat="1" ht="75" x14ac:dyDescent="0.25">
      <c r="C31" s="77" t="s">
        <v>90</v>
      </c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 t="s">
        <v>85</v>
      </c>
      <c r="D32" s="75">
        <v>3739.41</v>
      </c>
      <c r="F32" s="75" t="s">
        <v>24</v>
      </c>
      <c r="G32" s="75">
        <f>G31*90%</f>
        <v>0</v>
      </c>
    </row>
    <row r="33" spans="3:9" s="10" customFormat="1" x14ac:dyDescent="0.25">
      <c r="C33" s="75" t="s">
        <v>86</v>
      </c>
      <c r="D33" s="75">
        <v>42000</v>
      </c>
      <c r="F33" s="75" t="s">
        <v>25</v>
      </c>
      <c r="G33" s="75">
        <f>G31*80%</f>
        <v>0</v>
      </c>
    </row>
    <row r="34" spans="3:9" s="10" customFormat="1" x14ac:dyDescent="0.25">
      <c r="C34" s="75" t="s">
        <v>87</v>
      </c>
      <c r="D34" s="75">
        <f>D32*D33</f>
        <v>157055220</v>
      </c>
    </row>
    <row r="35" spans="3:9" s="10" customFormat="1" x14ac:dyDescent="0.25">
      <c r="C35" s="75" t="s">
        <v>88</v>
      </c>
      <c r="D35" s="75"/>
    </row>
    <row r="36" spans="3:9" s="10" customFormat="1" x14ac:dyDescent="0.25">
      <c r="C36" s="75" t="s">
        <v>85</v>
      </c>
      <c r="D36" s="75">
        <v>3739.41</v>
      </c>
      <c r="F36" s="10" t="s">
        <v>95</v>
      </c>
      <c r="G36" s="10" t="s">
        <v>96</v>
      </c>
      <c r="H36" s="10" t="s">
        <v>97</v>
      </c>
      <c r="I36" s="10" t="s">
        <v>98</v>
      </c>
    </row>
    <row r="37" spans="3:9" s="10" customFormat="1" x14ac:dyDescent="0.25">
      <c r="C37" s="75" t="s">
        <v>86</v>
      </c>
      <c r="D37" s="75">
        <v>2000</v>
      </c>
    </row>
    <row r="38" spans="3:9" s="10" customFormat="1" x14ac:dyDescent="0.25">
      <c r="C38" s="75" t="s">
        <v>87</v>
      </c>
      <c r="D38" s="75">
        <f>D36*D37</f>
        <v>7478820</v>
      </c>
    </row>
    <row r="39" spans="3:9" s="10" customFormat="1" x14ac:dyDescent="0.25">
      <c r="C39" s="57"/>
      <c r="D39" s="57"/>
    </row>
    <row r="40" spans="3:9" s="10" customFormat="1" x14ac:dyDescent="0.25">
      <c r="C40" s="75" t="s">
        <v>89</v>
      </c>
      <c r="D40" s="75">
        <f>D38+D34</f>
        <v>164534040</v>
      </c>
    </row>
    <row r="42" spans="3:9" ht="60" x14ac:dyDescent="0.25">
      <c r="C42" s="77" t="s">
        <v>91</v>
      </c>
      <c r="D42" s="75"/>
    </row>
    <row r="43" spans="3:9" x14ac:dyDescent="0.25">
      <c r="C43" s="75" t="s">
        <v>85</v>
      </c>
      <c r="D43" s="75">
        <v>580.17999999999995</v>
      </c>
    </row>
    <row r="44" spans="3:9" x14ac:dyDescent="0.25">
      <c r="C44" s="75" t="s">
        <v>86</v>
      </c>
      <c r="D44" s="75">
        <v>36700</v>
      </c>
    </row>
    <row r="45" spans="3:9" x14ac:dyDescent="0.25">
      <c r="C45" s="75" t="s">
        <v>87</v>
      </c>
      <c r="D45" s="75">
        <f>D43*D44</f>
        <v>21292606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Depreciation</vt:lpstr>
      <vt:lpstr>Site Measurement</vt:lpstr>
      <vt:lpstr>Calculation</vt:lpstr>
      <vt:lpstr>Annexure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2023-08-19T09:36:19Z</dcterms:modified>
</cp:coreProperties>
</file>